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patricia_rechisan_ubbcluj_ro/Documents/Planuri_de_invatamant_2025/15. FSPAC/Finale_EXCEL/"/>
    </mc:Choice>
  </mc:AlternateContent>
  <xr:revisionPtr revIDLastSave="8" documentId="13_ncr:20001_{4DD658D6-2D1B-42A3-A40F-F19023197E6F}" xr6:coauthVersionLast="47" xr6:coauthVersionMax="47" xr10:uidLastSave="{3FDC827E-272C-4BB2-8FFA-8476A70C7845}"/>
  <bookViews>
    <workbookView xWindow="-120" yWindow="-120" windowWidth="29040" windowHeight="15720" xr2:uid="{00000000-000D-0000-FFFF-FFFF00000000}"/>
  </bookViews>
  <sheets>
    <sheet name="Plan" sheetId="1" r:id="rId1"/>
    <sheet name="Raport_revizuire" sheetId="2" r:id="rId2"/>
  </sheets>
  <definedNames>
    <definedName name="_xlnm.Print_Area" localSheetId="0">Plan!$A$1:$T$300</definedName>
    <definedName name="_xlnm.Print_Area" localSheetId="1">Raport_revizuire!$A$1:$N$38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9" i="1" l="1"/>
  <c r="L145" i="1"/>
  <c r="M145" i="1"/>
  <c r="K145" i="1"/>
  <c r="T144" i="1"/>
  <c r="S144" i="1"/>
  <c r="R144" i="1"/>
  <c r="Q144" i="1"/>
  <c r="K144" i="1"/>
  <c r="L144" i="1"/>
  <c r="M144" i="1"/>
  <c r="J144" i="1"/>
  <c r="A200" i="1" l="1"/>
  <c r="M295" i="1" l="1"/>
  <c r="L295" i="1"/>
  <c r="K295" i="1"/>
  <c r="S294" i="1"/>
  <c r="R294" i="1"/>
  <c r="Q294" i="1"/>
  <c r="M294" i="1"/>
  <c r="L294" i="1"/>
  <c r="K294" i="1"/>
  <c r="J294" i="1"/>
  <c r="P291" i="1"/>
  <c r="N291" i="1"/>
  <c r="P290" i="1"/>
  <c r="N290" i="1"/>
  <c r="P288" i="1"/>
  <c r="N288" i="1"/>
  <c r="P287" i="1"/>
  <c r="N287" i="1"/>
  <c r="P285" i="1"/>
  <c r="N285" i="1"/>
  <c r="P284" i="1"/>
  <c r="N284" i="1"/>
  <c r="O290" i="1" l="1"/>
  <c r="O288" i="1"/>
  <c r="O287" i="1"/>
  <c r="O291" i="1"/>
  <c r="K296" i="1"/>
  <c r="N295" i="1"/>
  <c r="P295" i="1"/>
  <c r="O284" i="1"/>
  <c r="O285" i="1"/>
  <c r="N294" i="1"/>
  <c r="P294" i="1"/>
  <c r="O295" i="1" l="1"/>
  <c r="N296" i="1" s="1"/>
  <c r="O294" i="1"/>
  <c r="Y266" i="1" l="1"/>
  <c r="Y265" i="1"/>
  <c r="T179" i="1" l="1"/>
  <c r="T180" i="1"/>
  <c r="T181" i="1"/>
  <c r="P143" i="1" l="1"/>
  <c r="P142" i="1"/>
  <c r="P120" i="1"/>
  <c r="P121" i="1"/>
  <c r="P122" i="1"/>
  <c r="P123" i="1"/>
  <c r="P119" i="1"/>
  <c r="T204" i="1" l="1"/>
  <c r="S204" i="1"/>
  <c r="R204" i="1"/>
  <c r="Q204" i="1"/>
  <c r="M204" i="1"/>
  <c r="L204" i="1"/>
  <c r="K204" i="1"/>
  <c r="J204" i="1"/>
  <c r="A204" i="1"/>
  <c r="T210" i="1"/>
  <c r="S210" i="1"/>
  <c r="R210" i="1"/>
  <c r="Q210" i="1"/>
  <c r="M210" i="1"/>
  <c r="L210" i="1"/>
  <c r="K210" i="1"/>
  <c r="J210" i="1"/>
  <c r="A210" i="1"/>
  <c r="T209" i="1"/>
  <c r="S209" i="1"/>
  <c r="R209" i="1"/>
  <c r="Q209" i="1"/>
  <c r="M209" i="1"/>
  <c r="L209" i="1"/>
  <c r="K209" i="1"/>
  <c r="J209" i="1"/>
  <c r="A209" i="1"/>
  <c r="T208" i="1"/>
  <c r="S208" i="1"/>
  <c r="R208" i="1"/>
  <c r="Q208" i="1"/>
  <c r="M208" i="1"/>
  <c r="L208" i="1"/>
  <c r="K208" i="1"/>
  <c r="J208" i="1"/>
  <c r="A208" i="1"/>
  <c r="T207" i="1"/>
  <c r="S207" i="1"/>
  <c r="R207" i="1"/>
  <c r="Q207" i="1"/>
  <c r="M207" i="1"/>
  <c r="L207" i="1"/>
  <c r="K207" i="1"/>
  <c r="J207" i="1"/>
  <c r="A207" i="1"/>
  <c r="T206" i="1"/>
  <c r="S206" i="1"/>
  <c r="R206" i="1"/>
  <c r="Q206" i="1"/>
  <c r="M206" i="1"/>
  <c r="L206" i="1"/>
  <c r="K206" i="1"/>
  <c r="J206" i="1"/>
  <c r="A206" i="1"/>
  <c r="T205" i="1"/>
  <c r="S205" i="1"/>
  <c r="R205" i="1"/>
  <c r="Q205" i="1"/>
  <c r="M205" i="1"/>
  <c r="L205" i="1"/>
  <c r="K205" i="1"/>
  <c r="J205" i="1"/>
  <c r="A205" i="1"/>
  <c r="T203" i="1"/>
  <c r="S203" i="1"/>
  <c r="R203" i="1"/>
  <c r="Q203" i="1"/>
  <c r="M203" i="1"/>
  <c r="L203" i="1"/>
  <c r="K203" i="1"/>
  <c r="J203" i="1"/>
  <c r="A203" i="1"/>
  <c r="T202" i="1"/>
  <c r="S202" i="1"/>
  <c r="R202" i="1"/>
  <c r="Q202" i="1"/>
  <c r="M202" i="1"/>
  <c r="L202" i="1"/>
  <c r="K202" i="1"/>
  <c r="J202" i="1"/>
  <c r="A202" i="1"/>
  <c r="N119" i="1" l="1"/>
  <c r="P105" i="1"/>
  <c r="P207" i="1" s="1"/>
  <c r="N105" i="1"/>
  <c r="N207" i="1" s="1"/>
  <c r="P93" i="1"/>
  <c r="N93" i="1"/>
  <c r="O93" i="1" l="1"/>
  <c r="O105" i="1"/>
  <c r="O207" i="1" s="1"/>
  <c r="O119" i="1"/>
  <c r="L159" i="1" l="1"/>
  <c r="M159" i="1"/>
  <c r="K159" i="1"/>
  <c r="T158" i="1"/>
  <c r="S158" i="1"/>
  <c r="K158" i="1"/>
  <c r="L158" i="1"/>
  <c r="M158" i="1"/>
  <c r="J158" i="1"/>
  <c r="U32" i="1" l="1"/>
  <c r="R158" i="1" l="1"/>
  <c r="Q158" i="1"/>
  <c r="P156" i="1" l="1"/>
  <c r="N156" i="1"/>
  <c r="P155" i="1"/>
  <c r="N155" i="1"/>
  <c r="N159" i="1" l="1"/>
  <c r="N158" i="1"/>
  <c r="P159" i="1"/>
  <c r="P158" i="1"/>
  <c r="O155" i="1"/>
  <c r="K160" i="1"/>
  <c r="O156" i="1"/>
  <c r="O158" i="1" l="1"/>
  <c r="O159" i="1"/>
  <c r="N160" i="1" s="1"/>
  <c r="A213" i="1" l="1"/>
  <c r="J213" i="1"/>
  <c r="K213" i="1"/>
  <c r="L213" i="1"/>
  <c r="M213" i="1"/>
  <c r="P213" i="1"/>
  <c r="Q213" i="1"/>
  <c r="R213" i="1"/>
  <c r="S213" i="1"/>
  <c r="T213" i="1"/>
  <c r="A214" i="1"/>
  <c r="J214" i="1"/>
  <c r="K214" i="1"/>
  <c r="L214" i="1"/>
  <c r="M214" i="1"/>
  <c r="P214" i="1"/>
  <c r="Q214" i="1"/>
  <c r="R214" i="1"/>
  <c r="S214" i="1"/>
  <c r="T214" i="1"/>
  <c r="A215" i="1"/>
  <c r="J215" i="1"/>
  <c r="K215" i="1"/>
  <c r="L215" i="1"/>
  <c r="M215" i="1"/>
  <c r="P215" i="1"/>
  <c r="Q215" i="1"/>
  <c r="R215" i="1"/>
  <c r="S215" i="1"/>
  <c r="T215" i="1"/>
  <c r="J216" i="1" l="1"/>
  <c r="M216" i="1"/>
  <c r="T216" i="1"/>
  <c r="L216" i="1"/>
  <c r="Q216" i="1"/>
  <c r="R216" i="1"/>
  <c r="S216" i="1"/>
  <c r="K216" i="1"/>
  <c r="P216" i="1"/>
  <c r="T229" i="1"/>
  <c r="T228" i="1"/>
  <c r="T201" i="1"/>
  <c r="T199" i="1"/>
  <c r="T185" i="1"/>
  <c r="T184" i="1"/>
  <c r="T230" i="1" l="1"/>
  <c r="T186" i="1"/>
  <c r="T211" i="1"/>
  <c r="T182" i="1"/>
  <c r="T124" i="1"/>
  <c r="T111" i="1"/>
  <c r="T99" i="1"/>
  <c r="T85" i="1"/>
  <c r="K233" i="1" l="1"/>
  <c r="K161" i="1"/>
  <c r="K147" i="1"/>
  <c r="T187" i="1"/>
  <c r="K190" i="1" s="1"/>
  <c r="T217" i="1"/>
  <c r="K220" i="1" s="1"/>
  <c r="S85" i="1"/>
  <c r="R85" i="1"/>
  <c r="Q85" i="1"/>
  <c r="S99" i="1"/>
  <c r="R99" i="1"/>
  <c r="Q99" i="1"/>
  <c r="U33" i="1"/>
  <c r="U263" i="1" l="1"/>
  <c r="U265" i="1" s="1"/>
  <c r="W263" i="1"/>
  <c r="W265" i="1" s="1"/>
  <c r="U85" i="1"/>
  <c r="U99" i="1"/>
  <c r="A184" i="1"/>
  <c r="A199" i="1"/>
  <c r="S229" i="1" l="1"/>
  <c r="R229" i="1"/>
  <c r="Q229" i="1"/>
  <c r="M229" i="1"/>
  <c r="L229" i="1"/>
  <c r="K229" i="1"/>
  <c r="J229" i="1"/>
  <c r="A229" i="1"/>
  <c r="S228" i="1"/>
  <c r="R228" i="1"/>
  <c r="Q228" i="1"/>
  <c r="M228" i="1"/>
  <c r="L228" i="1"/>
  <c r="K228" i="1"/>
  <c r="J228" i="1"/>
  <c r="A228" i="1"/>
  <c r="S201" i="1"/>
  <c r="R201" i="1"/>
  <c r="Q201" i="1"/>
  <c r="M201" i="1"/>
  <c r="L201" i="1"/>
  <c r="K201" i="1"/>
  <c r="J201" i="1"/>
  <c r="A201" i="1"/>
  <c r="S199" i="1"/>
  <c r="R199" i="1"/>
  <c r="Q199" i="1"/>
  <c r="M199" i="1"/>
  <c r="L199" i="1"/>
  <c r="K199" i="1"/>
  <c r="J199" i="1"/>
  <c r="S185" i="1"/>
  <c r="R185" i="1"/>
  <c r="Q185" i="1"/>
  <c r="P185" i="1"/>
  <c r="M185" i="1"/>
  <c r="M260" i="1" s="1"/>
  <c r="M261" i="1" s="1"/>
  <c r="L185" i="1"/>
  <c r="K185" i="1"/>
  <c r="J185" i="1"/>
  <c r="A185" i="1"/>
  <c r="S184" i="1"/>
  <c r="R184" i="1"/>
  <c r="Q184" i="1"/>
  <c r="M184" i="1"/>
  <c r="L184" i="1"/>
  <c r="K184" i="1"/>
  <c r="J184" i="1"/>
  <c r="J230" i="1" l="1"/>
  <c r="Q180" i="1"/>
  <c r="R179" i="1"/>
  <c r="S179" i="1"/>
  <c r="A181" i="1" l="1"/>
  <c r="A180" i="1"/>
  <c r="S181" i="1"/>
  <c r="R181" i="1"/>
  <c r="Q181" i="1"/>
  <c r="M181" i="1"/>
  <c r="L181" i="1"/>
  <c r="K181" i="1"/>
  <c r="J181" i="1"/>
  <c r="S180" i="1"/>
  <c r="R180" i="1"/>
  <c r="M180" i="1"/>
  <c r="L180" i="1"/>
  <c r="K180" i="1"/>
  <c r="J180" i="1"/>
  <c r="Q179" i="1"/>
  <c r="M179" i="1"/>
  <c r="L179" i="1"/>
  <c r="K179" i="1"/>
  <c r="J179" i="1"/>
  <c r="A179" i="1"/>
  <c r="K182" i="1" l="1"/>
  <c r="L182" i="1"/>
  <c r="J182" i="1"/>
  <c r="M182" i="1"/>
  <c r="S230" i="1"/>
  <c r="R230" i="1"/>
  <c r="Q230" i="1"/>
  <c r="M230" i="1"/>
  <c r="M231" i="1" s="1"/>
  <c r="L230" i="1"/>
  <c r="L231" i="1" s="1"/>
  <c r="K230" i="1"/>
  <c r="K231" i="1" s="1"/>
  <c r="S211" i="1"/>
  <c r="R211" i="1"/>
  <c r="Q211" i="1"/>
  <c r="M211" i="1"/>
  <c r="L211" i="1"/>
  <c r="K211" i="1"/>
  <c r="J211" i="1"/>
  <c r="S186" i="1"/>
  <c r="R186" i="1"/>
  <c r="Q186" i="1"/>
  <c r="M186" i="1"/>
  <c r="L186" i="1"/>
  <c r="K186" i="1"/>
  <c r="J186" i="1"/>
  <c r="P136" i="1"/>
  <c r="P137" i="1"/>
  <c r="N133" i="1"/>
  <c r="N134" i="1"/>
  <c r="P140" i="1"/>
  <c r="N140" i="1"/>
  <c r="N142" i="1"/>
  <c r="N137" i="1"/>
  <c r="N123" i="1"/>
  <c r="P96" i="1"/>
  <c r="P228" i="1" s="1"/>
  <c r="N96" i="1"/>
  <c r="N228" i="1" s="1"/>
  <c r="P84" i="1"/>
  <c r="P202" i="1" s="1"/>
  <c r="N84" i="1"/>
  <c r="N202" i="1" s="1"/>
  <c r="N143" i="1"/>
  <c r="P139" i="1"/>
  <c r="N139" i="1"/>
  <c r="N136" i="1"/>
  <c r="P134" i="1"/>
  <c r="P133" i="1"/>
  <c r="S124" i="1"/>
  <c r="R124" i="1"/>
  <c r="Q124" i="1"/>
  <c r="M124" i="1"/>
  <c r="L124" i="1"/>
  <c r="K124" i="1"/>
  <c r="J124" i="1"/>
  <c r="U119" i="1" s="1"/>
  <c r="N122" i="1"/>
  <c r="N121" i="1"/>
  <c r="N120" i="1"/>
  <c r="S111" i="1"/>
  <c r="R111" i="1"/>
  <c r="Q111" i="1"/>
  <c r="M111" i="1"/>
  <c r="L111" i="1"/>
  <c r="K111" i="1"/>
  <c r="J111" i="1"/>
  <c r="P110" i="1"/>
  <c r="P210" i="1" s="1"/>
  <c r="N110" i="1"/>
  <c r="N210" i="1" s="1"/>
  <c r="P109" i="1"/>
  <c r="P209" i="1" s="1"/>
  <c r="N109" i="1"/>
  <c r="N209" i="1" s="1"/>
  <c r="P108" i="1"/>
  <c r="P208" i="1" s="1"/>
  <c r="N108" i="1"/>
  <c r="N208" i="1" s="1"/>
  <c r="P107" i="1"/>
  <c r="P181" i="1" s="1"/>
  <c r="N107" i="1"/>
  <c r="N181" i="1" s="1"/>
  <c r="P106" i="1"/>
  <c r="P229" i="1" s="1"/>
  <c r="N106" i="1"/>
  <c r="N229" i="1" s="1"/>
  <c r="M99" i="1"/>
  <c r="L99" i="1"/>
  <c r="K99" i="1"/>
  <c r="J99" i="1"/>
  <c r="U93" i="1" s="1"/>
  <c r="P98" i="1"/>
  <c r="P206" i="1" s="1"/>
  <c r="N98" i="1"/>
  <c r="N206" i="1" s="1"/>
  <c r="P97" i="1"/>
  <c r="P205" i="1" s="1"/>
  <c r="N97" i="1"/>
  <c r="N205" i="1" s="1"/>
  <c r="P95" i="1"/>
  <c r="P204" i="1" s="1"/>
  <c r="N95" i="1"/>
  <c r="N204" i="1" s="1"/>
  <c r="P94" i="1"/>
  <c r="P203" i="1" s="1"/>
  <c r="N94" i="1"/>
  <c r="N203" i="1" s="1"/>
  <c r="N83" i="1"/>
  <c r="N201" i="1" s="1"/>
  <c r="N82" i="1"/>
  <c r="N81" i="1"/>
  <c r="N80" i="1"/>
  <c r="P83" i="1"/>
  <c r="P201" i="1" s="1"/>
  <c r="K85" i="1"/>
  <c r="P82" i="1"/>
  <c r="P81" i="1"/>
  <c r="P80" i="1"/>
  <c r="M85" i="1"/>
  <c r="L85" i="1"/>
  <c r="J85" i="1"/>
  <c r="U80" i="1" s="1"/>
  <c r="N145" i="1" l="1"/>
  <c r="N144" i="1"/>
  <c r="P145" i="1"/>
  <c r="P144" i="1"/>
  <c r="N213" i="1"/>
  <c r="N214" i="1"/>
  <c r="N215" i="1"/>
  <c r="N185" i="1"/>
  <c r="U105" i="1"/>
  <c r="T242" i="1"/>
  <c r="T244" i="1" s="1"/>
  <c r="J243" i="1"/>
  <c r="R242" i="1"/>
  <c r="R244" i="1" s="1"/>
  <c r="O136" i="1"/>
  <c r="N85" i="1"/>
  <c r="O107" i="1"/>
  <c r="O181" i="1" s="1"/>
  <c r="P111" i="1"/>
  <c r="O108" i="1"/>
  <c r="O208" i="1" s="1"/>
  <c r="U111" i="1"/>
  <c r="O142" i="1"/>
  <c r="O96" i="1"/>
  <c r="O228" i="1" s="1"/>
  <c r="O133" i="1"/>
  <c r="O94" i="1"/>
  <c r="O203" i="1" s="1"/>
  <c r="O95" i="1"/>
  <c r="O204" i="1" s="1"/>
  <c r="O98" i="1"/>
  <c r="O206" i="1" s="1"/>
  <c r="O134" i="1"/>
  <c r="N111" i="1"/>
  <c r="O5" i="1" s="1"/>
  <c r="U5" i="1" s="1"/>
  <c r="U124" i="1"/>
  <c r="S217" i="1"/>
  <c r="M217" i="1"/>
  <c r="J217" i="1"/>
  <c r="L217" i="1"/>
  <c r="Q217" i="1"/>
  <c r="K218" i="1"/>
  <c r="M218" i="1"/>
  <c r="R217" i="1"/>
  <c r="N199" i="1"/>
  <c r="N184" i="1"/>
  <c r="N179" i="1"/>
  <c r="P99" i="1"/>
  <c r="P180" i="1"/>
  <c r="O120" i="1"/>
  <c r="O122" i="1"/>
  <c r="O139" i="1"/>
  <c r="O143" i="1"/>
  <c r="O140" i="1"/>
  <c r="P230" i="1"/>
  <c r="P231" i="1" s="1"/>
  <c r="P199" i="1"/>
  <c r="P184" i="1"/>
  <c r="P186" i="1" s="1"/>
  <c r="P179" i="1"/>
  <c r="N180" i="1"/>
  <c r="L218" i="1"/>
  <c r="O84" i="1"/>
  <c r="O202" i="1" s="1"/>
  <c r="O80" i="1"/>
  <c r="O83" i="1"/>
  <c r="O201" i="1" s="1"/>
  <c r="M187" i="1"/>
  <c r="K187" i="1"/>
  <c r="R182" i="1"/>
  <c r="R187" i="1" s="1"/>
  <c r="L187" i="1"/>
  <c r="Q182" i="1"/>
  <c r="Q187" i="1" s="1"/>
  <c r="S182" i="1"/>
  <c r="S187" i="1" s="1"/>
  <c r="O82" i="1"/>
  <c r="N124" i="1"/>
  <c r="P85" i="1"/>
  <c r="O81" i="1"/>
  <c r="N99" i="1"/>
  <c r="R4" i="1" s="1"/>
  <c r="U4" i="1" s="1"/>
  <c r="O97" i="1"/>
  <c r="O205" i="1" s="1"/>
  <c r="O106" i="1"/>
  <c r="O229" i="1" s="1"/>
  <c r="O109" i="1"/>
  <c r="O209" i="1" s="1"/>
  <c r="O110" i="1"/>
  <c r="O210" i="1" s="1"/>
  <c r="O121" i="1"/>
  <c r="O123" i="1"/>
  <c r="O137" i="1"/>
  <c r="K146" i="1"/>
  <c r="P124" i="1"/>
  <c r="K217" i="1"/>
  <c r="O145" i="1" l="1"/>
  <c r="O144" i="1"/>
  <c r="N216" i="1"/>
  <c r="O214" i="1"/>
  <c r="O215" i="1"/>
  <c r="O213" i="1"/>
  <c r="N186" i="1"/>
  <c r="O185" i="1"/>
  <c r="J242" i="1"/>
  <c r="K162" i="1"/>
  <c r="K148" i="1"/>
  <c r="L243" i="1"/>
  <c r="N182" i="1"/>
  <c r="P182" i="1"/>
  <c r="P188" i="1" s="1"/>
  <c r="K232" i="1"/>
  <c r="K234" i="1" s="1"/>
  <c r="H243" i="1"/>
  <c r="O4" i="1"/>
  <c r="U3" i="1" s="1"/>
  <c r="R5" i="1"/>
  <c r="U6" i="1" s="1"/>
  <c r="P211" i="1"/>
  <c r="P217" i="1" s="1"/>
  <c r="N230" i="1"/>
  <c r="N231" i="1" s="1"/>
  <c r="J187" i="1"/>
  <c r="K219" i="1"/>
  <c r="K221" i="1" s="1"/>
  <c r="K188" i="1"/>
  <c r="O180" i="1"/>
  <c r="O230" i="1"/>
  <c r="O231" i="1" s="1"/>
  <c r="O199" i="1"/>
  <c r="O184" i="1"/>
  <c r="O179" i="1"/>
  <c r="N211" i="1"/>
  <c r="M188" i="1"/>
  <c r="L188" i="1"/>
  <c r="O99" i="1"/>
  <c r="O85" i="1"/>
  <c r="O124" i="1"/>
  <c r="O111" i="1"/>
  <c r="O216" i="1" l="1"/>
  <c r="N187" i="1"/>
  <c r="O186" i="1"/>
  <c r="W264" i="1"/>
  <c r="W266" i="1" s="1"/>
  <c r="L242" i="1"/>
  <c r="L244" i="1" s="1"/>
  <c r="O182" i="1"/>
  <c r="N243" i="1"/>
  <c r="K252" i="1"/>
  <c r="I252" i="1"/>
  <c r="K253" i="1"/>
  <c r="I253" i="1"/>
  <c r="H242" i="1"/>
  <c r="J244" i="1"/>
  <c r="P218" i="1"/>
  <c r="N146" i="1"/>
  <c r="K189" i="1"/>
  <c r="P187" i="1"/>
  <c r="O211" i="1"/>
  <c r="N232" i="1"/>
  <c r="O253" i="1" s="1"/>
  <c r="N218" i="1"/>
  <c r="N217" i="1"/>
  <c r="N188" i="1"/>
  <c r="O188" i="1" l="1"/>
  <c r="N189" i="1" s="1"/>
  <c r="O218" i="1"/>
  <c r="N219" i="1" s="1"/>
  <c r="O252" i="1" s="1"/>
  <c r="U243" i="1"/>
  <c r="N242" i="1"/>
  <c r="N244" i="1" s="1"/>
  <c r="I251" i="1"/>
  <c r="I254" i="1" s="1"/>
  <c r="U251" i="1" s="1"/>
  <c r="K191" i="1"/>
  <c r="H244" i="1"/>
  <c r="P243" i="1" s="1"/>
  <c r="O187" i="1"/>
  <c r="O217" i="1"/>
  <c r="U264" i="1" l="1"/>
  <c r="U266" i="1" s="1"/>
  <c r="P242" i="1"/>
  <c r="P244" i="1" s="1"/>
  <c r="K251" i="1"/>
  <c r="K254" i="1" s="1"/>
  <c r="O251" i="1"/>
  <c r="O254" i="1" l="1"/>
  <c r="U253" i="1" l="1"/>
  <c r="R253" i="1"/>
  <c r="R252" i="1"/>
  <c r="R251" i="1"/>
  <c r="R2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7F8A4AB4-6569-4634-92BE-E0282F4FB38E}">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rgb="FF000000"/>
            <rFont val="Tahoma"/>
            <family val="2"/>
            <charset val="238"/>
          </rPr>
          <t xml:space="preserve">Gelu Gherghin:
</t>
        </r>
        <r>
          <rPr>
            <b/>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b/>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A6" authorId="0" shapeId="0" xr:uid="{3762766D-8E01-42D2-9D6D-F01A0C76E3E3}">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A9" authorId="0" shapeId="0" xr:uid="{B4C4DF50-D274-4655-A49F-C34D594525E4}">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10" authorId="0" shapeId="0" xr:uid="{FAC849C5-A16F-4249-9104-8DE803904FC7}">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A13" authorId="1" shapeId="0" xr:uid="{AF4AEE92-4F65-4FDB-B63C-035E7D1D912B}">
      <text>
        <r>
          <rPr>
            <b/>
            <sz val="9"/>
            <color indexed="81"/>
            <rFont val="Segoe UI"/>
            <family val="2"/>
            <charset val="238"/>
          </rPr>
          <t>Gelu Gherghin:</t>
        </r>
        <r>
          <rPr>
            <sz val="9"/>
            <color indexed="81"/>
            <rFont val="Segoe UI"/>
            <family val="2"/>
            <charset val="238"/>
          </rPr>
          <t xml:space="preserve">
Alegeți una dintre variante: profesional/de cercetare/didactic. Ștergeți celelalte două variante.</t>
        </r>
      </text>
    </comment>
    <comment ref="A17" authorId="0" shapeId="0" xr:uid="{D422ACB0-1DCB-469A-A51B-F5F8E357797A}">
      <text>
        <r>
          <rPr>
            <b/>
            <sz val="9"/>
            <color rgb="FF000000"/>
            <rFont val="Tahoma"/>
            <family val="2"/>
            <charset val="238"/>
          </rPr>
          <t xml:space="preserve">Gelu Gherghin:
</t>
        </r>
        <r>
          <rPr>
            <sz val="9"/>
            <color rgb="FFFF0000"/>
            <rFont val="Tahoma"/>
            <family val="2"/>
            <charset val="238"/>
          </rPr>
          <t xml:space="preserve">nr. credite obligatorii + nr. credite opționale trebuie să dea 180
</t>
        </r>
      </text>
    </comment>
    <comment ref="A19" authorId="0" shapeId="0" xr:uid="{167FF3D9-E687-4CAD-870D-E0EFECFE1D23}">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0" authorId="1" shapeId="0" xr:uid="{35836890-4A9E-4535-903E-50C2A492AE5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9" authorId="0" shapeId="0" xr:uid="{00000000-0006-0000-0000-00001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 cu precădere instituții membre Eutopia sau The Guild</t>
        </r>
      </text>
    </comment>
    <comment ref="A34" authorId="1" shapeId="0" xr:uid="{9E546C80-E1CF-4959-BD71-649CEE307974}">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63" authorId="1" shapeId="0" xr:uid="{82BE87D0-E016-49BB-B357-5AF68FBA7FD1}">
      <text>
        <r>
          <rPr>
            <b/>
            <sz val="9"/>
            <color indexed="81"/>
            <rFont val="Segoe UI"/>
            <family val="2"/>
            <charset val="238"/>
          </rPr>
          <t>Gelu Gherghin:</t>
        </r>
        <r>
          <rPr>
            <sz val="9"/>
            <color indexed="81"/>
            <rFont val="Segoe UI"/>
            <family val="2"/>
            <charset val="238"/>
          </rPr>
          <t xml:space="preserve">
Vă rugăm să consultați Procedura de aplicare a etichetelor ODD (Obiective de Dezvoltare Durabilă - Sustainable Development Goals) în procesul academic.
Păstrați doar etichetele care se potrivesc programului de studii (dacă este cazul) și ștergeți-le pe celelalte. Dacă nicio etichetă nu descrie programul, ștergeți toate etichetele și scrieți "Nu este cazul".</t>
        </r>
      </text>
    </comment>
    <comment ref="B90" authorId="1"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90"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90"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90"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02" authorId="1"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02" authorId="1"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02"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02"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16" authorId="1" shapeId="0" xr:uid="{00000000-0006-0000-0000-000022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16"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16"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16"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27"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29"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129"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129"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29"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29"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Q145"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47"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48"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151"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51"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51"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51"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61"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62"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179" authorId="1" shapeId="0" xr:uid="{B1748EE8-16B0-48E2-B75C-4168B96D14A9}">
      <text>
        <r>
          <rPr>
            <b/>
            <sz val="9"/>
            <color indexed="81"/>
            <rFont val="Tahoma"/>
            <family val="2"/>
            <charset val="238"/>
          </rPr>
          <t xml:space="preserve">Gelu Gherghin:
</t>
        </r>
        <r>
          <rPr>
            <sz val="9"/>
            <color indexed="81"/>
            <rFont val="Tahoma"/>
            <family val="2"/>
            <charset val="238"/>
          </rPr>
          <t xml:space="preserve">
</t>
        </r>
        <r>
          <rPr>
            <sz val="9"/>
            <color indexed="10"/>
            <rFont val="Tahoma"/>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Tahoma"/>
            <family val="2"/>
            <charset val="238"/>
          </rPr>
          <t>Dacă inserați rânduri noi în tabel, copiați conținutul unui rând existent în rândul nou, pentru a avea formulele de preluare automată și în noile rânduri.</t>
        </r>
      </text>
    </comment>
    <comment ref="A190" authorId="1" shapeId="0" xr:uid="{00000000-0006-0000-0000-00004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91"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193" authorId="1" shapeId="0" xr:uid="{00000000-0006-0000-0000-00004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Acest tabel se va utiliza numai pentru domeniile pentru care standardele specifice prevăd Discipline de Domeniu (DD): 
Științe inginerești, Științe economice, Arte, Educație fizică și sport, Științe sociale, politice și ale comunicării.
</t>
        </r>
        <r>
          <rPr>
            <b/>
            <sz val="9"/>
            <color indexed="10"/>
            <rFont val="Tahoma"/>
            <family val="2"/>
            <charset val="238"/>
          </rPr>
          <t>Dacă programul de studii nu este incadrat într-unul din domeniile care au DD, ștergeți acest tabel cu totul din planul de învățământ.</t>
        </r>
      </text>
    </comment>
    <comment ref="B199" authorId="1" shapeId="0" xr:uid="{00000000-0006-0000-0000-00004F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20" authorId="1" shapeId="0" xr:uid="{00000000-0006-0000-0000-00005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21" authorId="1"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33" authorId="1"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34" authorId="1" shapeId="0" xr:uid="{00000000-0006-0000-0000-000056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A239" authorId="1" shapeId="0" xr:uid="{00000000-0006-0000-0000-00005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Nu introduceți manual date decât în celulele marcate cu galben</t>
        </r>
      </text>
    </comment>
  </commentList>
</comments>
</file>

<file path=xl/sharedStrings.xml><?xml version="1.0" encoding="utf-8"?>
<sst xmlns="http://schemas.openxmlformats.org/spreadsheetml/2006/main" count="524" uniqueCount="244">
  <si>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</si>
  <si>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</si>
  <si>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</si>
  <si>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</si>
  <si>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</si>
  <si>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</si>
  <si>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</si>
  <si>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</si>
  <si>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</si>
  <si>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</si>
  <si>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</si>
  <si>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</si>
  <si>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</si>
  <si>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</si>
  <si>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</si>
  <si>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</si>
  <si>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</si>
  <si>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</si>
  <si>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</si>
  <si>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</si>
  <si>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</si>
  <si>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</si>
  <si>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</si>
  <si>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</si>
  <si>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</si>
  <si>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</si>
  <si>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</si>
  <si>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</si>
  <si>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</si>
  <si>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</si>
  <si>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</si>
  <si>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</si>
  <si>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</si>
  <si>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</si>
  <si>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</si>
  <si>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</si>
  <si>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</si>
  <si>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</si>
  <si>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</si>
  <si>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</si>
  <si>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DISCIPLINE OPȚIONALE</t>
  </si>
  <si>
    <t>%</t>
  </si>
  <si>
    <t xml:space="preserve">TOTAL ORE FIZICE / TOTAL ORE ALOCATE STUDIULUI </t>
  </si>
  <si>
    <t>An I, Semestrul 1</t>
  </si>
  <si>
    <t>An I, Semestrul 2</t>
  </si>
  <si>
    <t>An II, Semestrul 3</t>
  </si>
  <si>
    <t>An II, Semestrul 4</t>
  </si>
  <si>
    <t>DISCIPLINE DE PREGĂTIRE FUNDAMENTALĂ (DF)</t>
  </si>
  <si>
    <t>DISCIPLINE</t>
  </si>
  <si>
    <t>OBLIGATORII</t>
  </si>
  <si>
    <t>OPȚIONALE</t>
  </si>
  <si>
    <t>ORE FIZICE</t>
  </si>
  <si>
    <t>ORE ALOCATE STUDIULUI</t>
  </si>
  <si>
    <t>NR. DE CREDITE</t>
  </si>
  <si>
    <t>AN I</t>
  </si>
  <si>
    <t>AN II</t>
  </si>
  <si>
    <t>BILANȚ GENERAL</t>
  </si>
  <si>
    <t>Și</t>
  </si>
  <si>
    <t xml:space="preserve">TOTAL CREDITE / ORE PE SĂPTĂMÂNĂ / EVALUĂRI </t>
  </si>
  <si>
    <t xml:space="preserve">PROGRAM DE STUDII PSIHOPEDAGOGICE </t>
  </si>
  <si>
    <t>PACHET OPȚIONAL 1 (An I, Semestrul 1)</t>
  </si>
  <si>
    <t>PACHET OPȚIONAL 2 (An I, Semestrul 2)</t>
  </si>
  <si>
    <t>PACHET OPȚIONAL 3 (An II, Semestrul 3)</t>
  </si>
  <si>
    <t>PACHET OPȚIONAL 4 (An II, Semestrul 4)</t>
  </si>
  <si>
    <t>UNIVERSITATEA BABEŞ-BOLYAI CLUJ-NAPOCA</t>
  </si>
  <si>
    <t>PROCENT DIN NUMĂRUL TOTAL DE DISCIPLINE</t>
  </si>
  <si>
    <t xml:space="preserve">PROCENT DIN NUMĂRUL TOTAL DE ORE FIZICE </t>
  </si>
  <si>
    <t xml:space="preserve">Procent total discipline </t>
  </si>
  <si>
    <t>Procent total ore fizie</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</si>
  <si>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</si>
  <si>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</si>
  <si>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</si>
  <si>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</si>
  <si>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</si>
  <si>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</si>
  <si>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</si>
  <si>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</si>
  <si>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</si>
  <si>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</si>
  <si>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</si>
  <si>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</si>
  <si>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</si>
  <si>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</si>
  <si>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</si>
  <si>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</si>
  <si>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</si>
  <si>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</si>
  <si>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</si>
  <si>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</si>
  <si>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</si>
  <si>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</si>
  <si>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DS</t>
  </si>
  <si>
    <t xml:space="preserve">DISCIPLINE DE PREGĂTIRE FUNDAMENTALĂ </t>
  </si>
  <si>
    <t>DISCIPLINE DE SPECIALIATE</t>
  </si>
  <si>
    <t>TIP DISCIPLINĂ</t>
  </si>
  <si>
    <t>TOTAL ORE PRACTICĂ</t>
  </si>
  <si>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</si>
  <si>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</si>
  <si>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</si>
  <si>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</si>
  <si>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</si>
  <si>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DISCIPLINE DE SPECIALITATE (DS)</t>
  </si>
  <si>
    <r>
      <rPr>
        <b/>
        <sz val="10"/>
        <color indexed="8"/>
        <rFont val="Times New Roman"/>
        <family val="1"/>
        <charset val="238"/>
      </rPr>
      <t xml:space="preserve">Domenii care au toate tipurile de discipline </t>
    </r>
    <r>
      <rPr>
        <sz val="10"/>
        <color indexed="8"/>
        <rFont val="Times New Roman"/>
        <family val="1"/>
      </rPr>
      <t xml:space="preserve">
DF+DS+DA+DSIN+DC</t>
    </r>
  </si>
  <si>
    <r>
      <rPr>
        <b/>
        <sz val="10"/>
        <rFont val="Times New Roman"/>
        <family val="1"/>
        <charset val="238"/>
      </rPr>
      <t>Domenii fără DF și DS</t>
    </r>
    <r>
      <rPr>
        <sz val="10"/>
        <color indexed="8"/>
        <rFont val="Times New Roman"/>
        <family val="1"/>
      </rPr>
      <t xml:space="preserve">
DF+DS+DA</t>
    </r>
  </si>
  <si>
    <t>Cheie de verificare personalizată - construiți cheia în funcție de specificul programului dumneavoastră</t>
  </si>
  <si>
    <t>Dacă domeniul dumneavoastră are Discipline Fundamentale (DF) și Discipline de Specialitate (DS), atunci luați în considerare prima coloană a cheii de verificare. Dacă domeniul  nu are DF și DS și ați șters tabelele DF și DS, atunci luați în considerare cea de-a doua coloană a cheii de verificare. Dacă domeniul are o combinație cu discipline diferită față de cele existente în primele două coloane, creați-vă o cheie de verificare personalizată în cea de-a treia coloană.</t>
  </si>
  <si>
    <t>Chei de verificare: Planul este corect dacă adunând procentele din toate tipurile de discipline se obține 100%</t>
  </si>
  <si>
    <t>MODUL PEDAGOCIC - Nivelul II: 30 de credite ECTS  + 5 credite ECTS aferente examenului de absolvire</t>
  </si>
  <si>
    <t>XND 1101</t>
  </si>
  <si>
    <t>XND 1102</t>
  </si>
  <si>
    <t>XND 1203</t>
  </si>
  <si>
    <t>DP</t>
  </si>
  <si>
    <t>XND 1204</t>
  </si>
  <si>
    <t>DO</t>
  </si>
  <si>
    <t>XND 2305</t>
  </si>
  <si>
    <t>XND 2306</t>
  </si>
  <si>
    <t>DF – Discipline de extensie a pregătirii psihopedagogice fundamentale (obligatorii)</t>
  </si>
  <si>
    <t>DP – Discipline de extensie a pregătirii didactice şi practice de specialitate (obligatorii)</t>
  </si>
  <si>
    <t xml:space="preserve">DO - Discipline opţionale </t>
  </si>
  <si>
    <t>Psihopedagogia adolescenţilor, tinerilor şi adulţilor/Serdülők, fiatalok és felnőttek pszichopedagógiája/Psycho-pedagogy of teenagers, youth and adults</t>
  </si>
  <si>
    <t>Proiectarea şi managementul programelor educaţionale/Oktatási programok tervezése és menedzsmentje/Design and management of educational programmes</t>
  </si>
  <si>
    <t>Didactica domeniului şi dezvoltări în didactica specialităţii (învăţământ liceal, postliceal, universitar)/A tudományterület didaktikája, szakmódszetan a líceumi, postliceális és egyetemi oktatásban/Field didactics and developments in the didactics of the specialization (high school, post-high school, higher education)</t>
  </si>
  <si>
    <t>Disciplină opțională 1/Opcionális tantárgy I./Optional discipline (1)</t>
  </si>
  <si>
    <t xml:space="preserve">Practică pedagogică (în învăţământul liceal, postliceal şi universitar)/Pedagógiai gyakorlat (líceumi, posztliceális és egyetemi oktatás)/Pre-service teaching practice (at high school, post-high school, higher education level)
</t>
  </si>
  <si>
    <t>Disciplină opțională 2/Opcionális tantárgy II./Optional discipline (2)</t>
  </si>
  <si>
    <t>Examen de absolvire: Nivelul II/II-es modul záróvizsga/Graduation exam: Level II</t>
  </si>
  <si>
    <t xml:space="preserve">MODUL PEDAGOGIC PENTRU PROGRAMELE ÎN LIMBA MAGHIARĂ
Dacă programul este predat în limba maghiară, ștergeți pagina anterioară, aferentă Modulului Pedagogic în limba română și pagina următoare, aferentă Modulului Pedagogic în limba germană. </t>
  </si>
  <si>
    <t>NUMĂRUL ORELOR DE PRACTICĂ PENTRU ELABORAREA LUCRĂRII DE DISERTAȚIE:</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</si>
  <si>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</si>
  <si>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</si>
  <si>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</si>
  <si>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</si>
  <si>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</si>
  <si>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</si>
  <si>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</si>
  <si>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</si>
  <si>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</si>
  <si>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 xml:space="preserve">DISCIPLINE COMPLEMENTARE </t>
  </si>
  <si>
    <t>VIII. ETICHETE ODD (OBIECTIVE DE DEZVOLTARE DURABILĂ / SUSTAINABLE DEVELOPMENT GOALS)</t>
  </si>
  <si>
    <t>Eticheta generală pentru Dezvoltare durabilă</t>
  </si>
  <si>
    <t>ORE DE PRACTICĂ</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</si>
  <si>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</si>
  <si>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 xml:space="preserve">www.anc.edu.ro/registrul-national-al-calificarilor-din-invatamantul-superior-rncis </t>
  </si>
  <si>
    <t xml:space="preserve">https://green.ubbcluj.ro/procedura-de-aplicare-a-etichetelor-odd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</si>
  <si>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</si>
  <si>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t>FACULTATEA DE ȘTIINȚE POLITICE, ADMINISTRATIVE ȘI ALE COMUNICĂRII</t>
  </si>
  <si>
    <t>UMM4101</t>
  </si>
  <si>
    <t>Culturi ale comunicării / Kommunikációs kultúrák / Communication cultures</t>
  </si>
  <si>
    <t>UMM4105</t>
  </si>
  <si>
    <t>Alfabetizare digitală / Digitális műveltség / Digital literacy</t>
  </si>
  <si>
    <t>UMM4103</t>
  </si>
  <si>
    <t>Atelier concepere și redactare texte / Kreatív írás műhely / Creative writing</t>
  </si>
  <si>
    <t>UMM4104</t>
  </si>
  <si>
    <t>Tehnici de negociere / Tárgyalástechnika / Negotiation techniques</t>
  </si>
  <si>
    <t>UMX4105</t>
  </si>
  <si>
    <t>Curs opţional 1 / Választható tárgy 1 / Optional course 1</t>
  </si>
  <si>
    <t>UMM4206</t>
  </si>
  <si>
    <t>Comunicare interculturală (l. engleză) / Interkulturális kommunikáció (angol ny.)/ Intercultural communication (English)</t>
  </si>
  <si>
    <t>UMM4207</t>
  </si>
  <si>
    <t>Cultură populară și branding (l. engleză) / Populáris kultúra és márkázás (angol ny.) / Popular culture and branding (English)</t>
  </si>
  <si>
    <t>UMM4208</t>
  </si>
  <si>
    <t>Tehnici de training și prezentare / Képzés- és prezentációtechnika / Training and presentation techniques</t>
  </si>
  <si>
    <t>UMM4209</t>
  </si>
  <si>
    <t>Dezvoltare organizaţională / Szervezeti fejlesztés / Organizational development</t>
  </si>
  <si>
    <t>UMM4210</t>
  </si>
  <si>
    <t xml:space="preserve">Practica profesională 1 / Szakmai gyakorlat 1 / Professional practice 1 </t>
  </si>
  <si>
    <t>UMX4211</t>
  </si>
  <si>
    <t>Curs opţional 2 / Választható tárgy 2 / Optional course 2</t>
  </si>
  <si>
    <t>UMM4312</t>
  </si>
  <si>
    <t>Protocol şi diplomaţie / Protokoll és diplomácia / Protocol and diplomacy</t>
  </si>
  <si>
    <t>UMM4313</t>
  </si>
  <si>
    <t>Organizarea biroului de comunicare / Kommunikációs iroda működtetése / Communication office management</t>
  </si>
  <si>
    <t>UMM4314</t>
  </si>
  <si>
    <t>Comunicare interpersonală / Interperszonális kommunikáció / Interpersonal communication</t>
  </si>
  <si>
    <t>UMM4315</t>
  </si>
  <si>
    <t>Psihopedagogie şi autocunoaştere / Drámapedagógia / Psycho-pedagogy</t>
  </si>
  <si>
    <t>UMM4316</t>
  </si>
  <si>
    <t>Practica profesională 2 / Szakmai gyakorlat 2 / Professional practice 2</t>
  </si>
  <si>
    <t>UMX4317</t>
  </si>
  <si>
    <t>Curs opţional 3 / Választható tárgy 3 / Optional course 3</t>
  </si>
  <si>
    <t>UME4418</t>
  </si>
  <si>
    <t>Semiotica media (lb. engleză) / Médiaszemiotika (angol ny.) / Media semiotics (English)</t>
  </si>
  <si>
    <t>UMM4419</t>
  </si>
  <si>
    <t xml:space="preserve">Dezvoltarea culturii vizuale / Vizuális kultúra fejlesztése / Visual culture </t>
  </si>
  <si>
    <t>UMM4420</t>
  </si>
  <si>
    <t>Designul elementelor vizuale / Számítógépes grafika / Visual design</t>
  </si>
  <si>
    <t>UMM4421</t>
  </si>
  <si>
    <t>Cercetare, etica și elaborarea lucrărilor științifice / Szakdolgozat-előkészítő műhely / Academic writing</t>
  </si>
  <si>
    <t>UMX4422</t>
  </si>
  <si>
    <t>Curs opţional 4 / Választható tárgy 4 / Optional course 4</t>
  </si>
  <si>
    <t>UMM4123</t>
  </si>
  <si>
    <t>Dezvoltarea competențelor personale / Személyi készségek fejlesztése / Self-management</t>
  </si>
  <si>
    <t>Curs opţional nenominalizat de la altă specializare</t>
  </si>
  <si>
    <t>UMM4224</t>
  </si>
  <si>
    <t>Antropologia comunicării / Kommunikáció antropológiája / Anthropology of communication</t>
  </si>
  <si>
    <t>UMM4326</t>
  </si>
  <si>
    <t>Dezvoltare conținut digital / Digitális tartalomgyártás / Digital content creation</t>
  </si>
  <si>
    <t>UMM4426</t>
  </si>
  <si>
    <t>Estetică / Esztétika / Aesthetics</t>
  </si>
  <si>
    <t>UME4427</t>
  </si>
  <si>
    <t>Branding organizațional și brandingul locurilor (lb. engleză) / Szervezet- és helymárkázás (angol ny.) / Organizational- and Place Branding (English)</t>
  </si>
  <si>
    <r>
      <t xml:space="preserve">1. Studenții au remarcat lipsa unor discipline dedicate în întregime dezvoltării de skilluri în mediul digital. Disciplinele </t>
    </r>
    <r>
      <rPr>
        <i/>
        <sz val="11"/>
        <color theme="1"/>
        <rFont val="Calibri"/>
        <family val="2"/>
        <scheme val="minor"/>
      </rPr>
      <t xml:space="preserve">Alfabetizarea digitală </t>
    </r>
    <r>
      <rPr>
        <sz val="11"/>
        <color theme="1"/>
        <rFont val="Calibri"/>
        <family val="2"/>
        <scheme val="minor"/>
      </rPr>
      <t xml:space="preserve">și </t>
    </r>
    <r>
      <rPr>
        <i/>
        <sz val="11"/>
        <color theme="1"/>
        <rFont val="Calibri"/>
        <family val="2"/>
        <scheme val="minor"/>
      </rPr>
      <t xml:space="preserve">Crearea conținut digital </t>
    </r>
    <r>
      <rPr>
        <sz val="11"/>
        <color theme="1"/>
        <rFont val="Calibri"/>
        <family val="2"/>
        <scheme val="minor"/>
      </rPr>
      <t>încearcă să răspundă la aceste nevoi formulate.</t>
    </r>
  </si>
  <si>
    <r>
      <t xml:space="preserve">1. Mai mulți angajatori au atras atenția asupra necesității cunoștințelor legate de platformele online, mai ales creare de conținut pentru platforme precum TikTok. În acest sens cursurile practice precum </t>
    </r>
    <r>
      <rPr>
        <i/>
        <sz val="11"/>
        <color theme="1"/>
        <rFont val="Calibri"/>
        <family val="2"/>
        <scheme val="minor"/>
      </rPr>
      <t xml:space="preserve">Crearea conținut digital </t>
    </r>
    <r>
      <rPr>
        <sz val="11"/>
        <color theme="1"/>
        <rFont val="Calibri"/>
        <family val="2"/>
        <scheme val="minor"/>
      </rPr>
      <t xml:space="preserve">sau </t>
    </r>
    <r>
      <rPr>
        <i/>
        <sz val="11"/>
        <color theme="1"/>
        <rFont val="Calibri"/>
        <family val="2"/>
        <scheme val="minor"/>
      </rPr>
      <t xml:space="preserve">Atelierul de crearea texte </t>
    </r>
    <r>
      <rPr>
        <sz val="11"/>
        <color theme="1"/>
        <rFont val="Calibri"/>
        <family val="2"/>
        <scheme val="minor"/>
      </rPr>
      <t xml:space="preserve">încearcă să răspundă la aceste nevoi. </t>
    </r>
  </si>
  <si>
    <t xml:space="preserve">2. Angajatorii propun creșterea numărului ocaziilor când studenții se pot întâlni cu reprezentanții angajatorilor. În acest sens se recomandă titularilor disciplinelor să aibe un număr de 1-2 invitați pe semestru pentru a crește vizibilitatea sectorului privat. </t>
  </si>
  <si>
    <r>
      <t xml:space="preserve">2. Studenții au subliniat necesitatea unor discipline mai specifice, care să faciliteze integrarea pe piața muncii. În acest context, se propune restructurarea disciplinelor </t>
    </r>
    <r>
      <rPr>
        <i/>
        <sz val="11"/>
        <color theme="1"/>
        <rFont val="Calibri"/>
        <family val="2"/>
        <scheme val="minor"/>
      </rPr>
      <t xml:space="preserve">Comunicare interculturală, Antropologia comunicării, </t>
    </r>
    <r>
      <rPr>
        <sz val="11"/>
        <color theme="1"/>
        <rFont val="Calibri"/>
        <family val="2"/>
        <scheme val="minor"/>
      </rPr>
      <t>cu un accent sporit pe aspectele comunicării organizaționale.</t>
    </r>
  </si>
  <si>
    <t xml:space="preserve">3. Există o cerință din ce în ce mai accentuată pentru specialiști în comunicare organizațională internă, de resurse umane, sau employer branding. Astfel se propune restructurarea disciplinelor menționate la punctul 1.2 cu un accent sporit pe acest aspect. </t>
  </si>
  <si>
    <t>1. Vajas Aliz, director creativ, Bloomberry Agency</t>
  </si>
  <si>
    <t>2. Petki Milán, fondator și CEO, Bloomberry Agency</t>
  </si>
  <si>
    <t>3. Polacsek Péter, director executiv, Diversity Ads</t>
  </si>
  <si>
    <t>4. Pászka Gáspár, expert PR, Teatrul Maghiar de Stat, Cluj-Napoca</t>
  </si>
  <si>
    <t>5. Biró Árpád Levente, director marketing, Teatrul Örkény István, Budapesta</t>
  </si>
  <si>
    <t>6. Farkas Zsófia, expert design și comunicare vizuală, freelancer</t>
  </si>
  <si>
    <t>7. Zörgő Noémi, purtâtor de cuvânt, Primăria Odorheiu Secuiesc</t>
  </si>
  <si>
    <t>8. Rés-Konrád Gergely, director festivalul VIBE</t>
  </si>
  <si>
    <t>9. Gábor Száfta Szende, coordonator program, UDMR prezidiul executiv</t>
  </si>
  <si>
    <t>10. Sámi Zsuzsanna, director marketing, Crush Wine Shop</t>
  </si>
  <si>
    <t xml:space="preserve">11. Franka Noémi, Human Resources officer, Codespring </t>
  </si>
  <si>
    <t>12. Benkő Ilona, HR professional, certified trainer și coach, freelancer</t>
  </si>
  <si>
    <r>
      <rPr>
        <b/>
        <sz val="10"/>
        <color indexed="8"/>
        <rFont val="Times New Roman"/>
        <family val="1"/>
      </rPr>
      <t>VI. UNIVERSITĂŢI DE REFERINŢĂ DIN TOP 500:</t>
    </r>
    <r>
      <rPr>
        <sz val="10"/>
        <color indexed="8"/>
        <rFont val="Times New Roman"/>
        <family val="1"/>
      </rPr>
      <t xml:space="preserve">
Eötvös Lóránd University, Budapest / Universitatea din Pécs / Universitatea din Debrecen / Metropolitan University, Budapest / Universitatea din Szeged.</t>
    </r>
  </si>
  <si>
    <r>
      <t xml:space="preserve">Programul de studii: </t>
    </r>
    <r>
      <rPr>
        <b/>
        <sz val="10"/>
        <color theme="1"/>
        <rFont val="Times New Roman"/>
        <family val="1"/>
      </rPr>
      <t>TEHNICI AVANSATE DE COMUNICARE / ADVANCED COMMUNICATION TECHNIQUES / KOMMUNIKÁCIÓS KÉSZSÉGFEJLESZTÉS</t>
    </r>
  </si>
  <si>
    <r>
      <t>Titlul absolventului:</t>
    </r>
    <r>
      <rPr>
        <b/>
        <sz val="10"/>
        <color theme="1"/>
        <rFont val="Times New Roman"/>
        <family val="1"/>
      </rPr>
      <t xml:space="preserve"> master</t>
    </r>
  </si>
  <si>
    <r>
      <t xml:space="preserve">Durata studiilor: </t>
    </r>
    <r>
      <rPr>
        <b/>
        <sz val="10"/>
        <color theme="1"/>
        <rFont val="Times New Roman"/>
        <family val="1"/>
      </rPr>
      <t>4 semestre</t>
    </r>
  </si>
  <si>
    <r>
      <t xml:space="preserve">Forma de învăţământ: </t>
    </r>
    <r>
      <rPr>
        <b/>
        <sz val="10"/>
        <color theme="1"/>
        <rFont val="Times New Roman"/>
        <family val="1"/>
      </rPr>
      <t>cu frecvenţă</t>
    </r>
  </si>
  <si>
    <r>
      <t>Tipul programului de master:</t>
    </r>
    <r>
      <rPr>
        <b/>
        <sz val="10"/>
        <color theme="1"/>
        <rFont val="Times New Roman"/>
        <family val="1"/>
      </rPr>
      <t xml:space="preserve"> profesional </t>
    </r>
  </si>
  <si>
    <r>
      <rPr>
        <b/>
        <sz val="10"/>
        <color theme="1"/>
        <rFont val="Times New Roman"/>
        <family val="1"/>
      </rPr>
      <t xml:space="preserve">   100 </t>
    </r>
    <r>
      <rPr>
        <sz val="10"/>
        <color theme="1"/>
        <rFont val="Times New Roman"/>
        <family val="1"/>
      </rPr>
      <t>de credite la disciplinele obligatorii;</t>
    </r>
  </si>
  <si>
    <r>
      <t xml:space="preserve">Domeniul:  </t>
    </r>
    <r>
      <rPr>
        <b/>
        <sz val="10"/>
        <color theme="1"/>
        <rFont val="Times New Roman"/>
        <family val="1"/>
        <charset val="238"/>
      </rPr>
      <t>ȘTIINȚE ALE COMUNICĂRII</t>
    </r>
  </si>
  <si>
    <t>Am introdus numele rectorului, decanului și pe cel al directorului. Vă rog, pe viitor, să completați și această secțiune.</t>
  </si>
  <si>
    <r>
      <t xml:space="preserve">Limba de predare: </t>
    </r>
    <r>
      <rPr>
        <b/>
        <sz val="10"/>
        <color theme="1"/>
        <rFont val="Times New Roman"/>
        <family val="1"/>
        <charset val="238"/>
      </rPr>
      <t>Maghiară</t>
    </r>
  </si>
  <si>
    <r>
      <t xml:space="preserve">   </t>
    </r>
    <r>
      <rPr>
        <b/>
        <sz val="10"/>
        <color theme="1"/>
        <rFont val="Times New Roman"/>
        <family val="1"/>
        <charset val="238"/>
      </rPr>
      <t>2</t>
    </r>
    <r>
      <rPr>
        <b/>
        <sz val="10"/>
        <color theme="1"/>
        <rFont val="Times New Roman"/>
        <family val="1"/>
      </rPr>
      <t>0</t>
    </r>
    <r>
      <rPr>
        <sz val="10"/>
        <color theme="1"/>
        <rFont val="Times New Roman"/>
        <family val="1"/>
      </rPr>
      <t xml:space="preserve"> credite la disciplinele opţionale;</t>
    </r>
  </si>
  <si>
    <r>
      <rPr>
        <b/>
        <sz val="10"/>
        <color rgb="FF000000"/>
        <rFont val="Times New Roman"/>
        <family val="1"/>
        <charset val="238"/>
      </rPr>
      <t>COMPETENȚE PROFESIONALE/ESENȚIALE:</t>
    </r>
    <r>
      <rPr>
        <sz val="10"/>
        <color rgb="FF000000"/>
        <rFont val="Times New Roman"/>
        <family val="1"/>
        <charset val="238"/>
      </rPr>
      <t xml:space="preserve">
C1. Înțelegerea si utilizarea avansată a limbajului, metodologiilor și cunoștințelor de specialitate din domeniul științelor comunicării
C2. Utilizarea avansată a noilor tehnologii de informare și comunicare (NTIC)
C3. Adaptarea strategiilor comunicaționale la tipurile diferite 4.2	de audiență / public implicate în comunicare (nivel avansat)
C4. Dezvoltarea, implementarea și evaluarea strategiilor integrate de relații publice
C5. Analiza și planificarea modului în care un brand este poziționat pe piață
C6. Crearea, transmiterea și menținerea imaginii sau reputației dorite a clientului</t>
    </r>
  </si>
  <si>
    <r>
      <rPr>
        <b/>
        <sz val="10"/>
        <color rgb="FF000000"/>
        <rFont val="Times New Roman"/>
        <family val="1"/>
        <charset val="238"/>
      </rPr>
      <t>PROFESSIONAL COMPETENCES:</t>
    </r>
    <r>
      <rPr>
        <sz val="10"/>
        <color rgb="FF000000"/>
        <rFont val="Times New Roman"/>
        <family val="1"/>
        <charset val="238"/>
      </rPr>
      <t xml:space="preserve">
C1. In-depth understanding and use of specialized terminology, methodologies, and knowledge from the field of communication sciences
C2. Advanced use of new information and communication technologies (IT&amp;C)
C3. Adapting communication strategies to different types of audiences involved in communication (advanced level)
C4. Developing, implementing, and evaluating integrated public relations strategies
C5. Analysing and planning how a brand is positioned on the market
C6. Creating, conveying, and maintaining a client’s desired image or reputation</t>
    </r>
  </si>
  <si>
    <r>
      <rPr>
        <b/>
        <sz val="10"/>
        <color rgb="FF000000"/>
        <rFont val="Times New Roman"/>
        <family val="1"/>
        <charset val="238"/>
      </rPr>
      <t>COMPETENȚE TRANSVERSALE:</t>
    </r>
    <r>
      <rPr>
        <sz val="10"/>
        <color rgb="FF000000"/>
        <rFont val="Times New Roman"/>
        <family val="1"/>
        <charset val="238"/>
      </rPr>
      <t xml:space="preserve">
CT 1. Rezolvarea în mod realist – cu argumentare atât teoretică, cât și practică – a unor situații profesionale uzuale, în vederea soluționării eficiente și deontologice a acestora.
CT 2. Aplicarea de tehnici de muncă eficientă în echipa multidisciplinară cu îndeplinirea anumitor sarcini pe paliere ierarhice.
CT 3. Autoevaluarea nevoii de formare profesională în scopul inserției și a adaptării la cerințele pieței muncii.
CT 4. Respectarea documentelelor informative transmise de clienți, planul de lucru, solicitările creative ale artiștilor, cerințele tehnice formulate de programatori și bugetul stabilit pentru proiectul în execuție.
CT 5. Dezvoltarea de rețele profesionale, stabili contacte pentru a menține fluxul de informații, stabili relații de afaceri și utiliza diferite canale de comunicare profesională.
CT 6. Abordarea problemelor în mod critic, dezvoltarea de idei creative și definirea unor planuri de afaceri în contextul mediei tradiționale și digitale.</t>
    </r>
  </si>
  <si>
    <r>
      <rPr>
        <b/>
        <sz val="10"/>
        <color rgb="FF000000"/>
        <rFont val="Times New Roman"/>
        <family val="1"/>
        <charset val="238"/>
      </rPr>
      <t>TRANSVERSAL COMPETENCES:</t>
    </r>
    <r>
      <rPr>
        <sz val="10"/>
        <color rgb="FF000000"/>
        <rFont val="Times New Roman"/>
        <family val="1"/>
        <charset val="238"/>
      </rPr>
      <t xml:space="preserve">
CT1. Solving realistically - with both theoretical and practical arguments - usual professional situations, in an efficient and deontological manner.
CT 2. Applying efficient work techniques in the multidisciplinary team with the accomplishment of certain tasks on hierarchical levels.
CT 3. Self-assessing the need for vocational training to insert and adapt to the requirements of the labor market.
CT 4. Respecting the informative documents sent by the clients, the work plan, the creative requests of the artists, the technical requirements formulated by the programmers, and the budget established for the project in execution.
CT 5. Developing professional networks, establishing contacts to maintain the flow of information, establishing business relationships and use different channels for professional communication.
CT 6. Critically addressing issues, developing creative ideas and defining business plans in the context of the traditional and digital media environments.</t>
    </r>
  </si>
  <si>
    <t>Am completat felul disciplinelor și forma de evaluare.</t>
  </si>
  <si>
    <t>Am corectat formulele.</t>
  </si>
  <si>
    <t>Am introdus codurile pachetelor.</t>
  </si>
  <si>
    <t>Sem. 4: Se alege o disciplină (4) din pachetul opțional 4 (UMX4422)</t>
  </si>
  <si>
    <t>Sem. 3: Se alege o disciplină (3) din pachetul opțional 3 (UMX4317)</t>
  </si>
  <si>
    <t>Sem. 2: Se alege o disciplină (2) din pachetul opțional 2 (UMX4211)</t>
  </si>
  <si>
    <t>Sem. 1: Se alege o disciplină (1) din pachetul opțional 1 (UMX4105)</t>
  </si>
  <si>
    <t>Am corectat secțiunea V.</t>
  </si>
  <si>
    <t xml:space="preserve">DISCIPLINE FACULTATIVE TRANSVERSALE </t>
  </si>
  <si>
    <t>Am pus formule la practică.</t>
  </si>
  <si>
    <r>
      <t xml:space="preserve">Programul de studii: </t>
    </r>
    <r>
      <rPr>
        <b/>
        <sz val="11"/>
        <color theme="1"/>
        <rFont val="Calibri"/>
        <family val="2"/>
        <charset val="238"/>
        <scheme val="minor"/>
      </rPr>
      <t>TEHNICI AVANSATE DE COMUNICARE / ADVANCED COMMUNICATION TECHNIQUES / KOMMUNIKÁCIÓS KÉSZSÉGFEJLESZTÉS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</si>
</sst>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charset val="238"/>
      <scheme val="minor"/>
    </font>
    <font>
      <sz val="11"/>
      <color theme="1"/>
      <name val="Calibri"/>
      <family val="2"/>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b/>
      <sz val="10"/>
      <color rgb="FFFF0000"/>
      <name val="Times New Roman"/>
      <family val="1"/>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1"/>
      <color theme="1"/>
      <name val="Calibri"/>
      <family val="2"/>
      <charset val="238"/>
      <scheme val="minor"/>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sz val="10"/>
      <color rgb="FFFF0000"/>
      <name val="Times New Roman"/>
      <family val="1"/>
    </font>
    <font>
      <u/>
      <sz val="10"/>
      <color theme="10"/>
      <name val="Times New Roman"/>
      <family val="1"/>
      <charset val="238"/>
    </font>
    <font>
      <b/>
      <i/>
      <sz val="10"/>
      <color rgb="FF000000"/>
      <name val="Times New Roman"/>
      <family val="1"/>
      <charset val="238"/>
    </font>
    <font>
      <sz val="10"/>
      <color rgb="FF000000"/>
      <name val="Times New Roman"/>
      <family val="1"/>
    </font>
    <font>
      <sz val="11"/>
      <name val="Arial"/>
      <family val="2"/>
    </font>
    <font>
      <b/>
      <sz val="9"/>
      <color rgb="FF000000"/>
      <name val="Tahoma"/>
      <family val="2"/>
      <charset val="238"/>
    </font>
    <font>
      <sz val="9"/>
      <color rgb="FF000000"/>
      <name val="Tahoma"/>
      <family val="2"/>
      <charset val="238"/>
    </font>
    <font>
      <sz val="9"/>
      <color rgb="FFFF0000"/>
      <name val="Tahoma"/>
      <family val="2"/>
      <charset val="238"/>
    </font>
    <font>
      <b/>
      <sz val="9"/>
      <color rgb="FFFF0000"/>
      <name val="Tahoma"/>
      <family val="2"/>
      <charset val="238"/>
    </font>
    <font>
      <i/>
      <sz val="11"/>
      <color theme="1"/>
      <name val="Calibri"/>
      <family val="2"/>
      <scheme val="minor"/>
    </font>
    <font>
      <sz val="8"/>
      <color rgb="FF000000"/>
      <name val="Segoe UI"/>
      <family val="2"/>
      <charset val="238"/>
    </font>
    <font>
      <b/>
      <sz val="10"/>
      <color theme="1"/>
      <name val="Times New Roman"/>
      <family val="1"/>
    </font>
    <font>
      <sz val="10"/>
      <color rgb="FFFF0000"/>
      <name val="Times New Roman"/>
      <family val="1"/>
      <charset val="238"/>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rgb="FFFFFF88"/>
      </patternFill>
    </fill>
    <fill>
      <patternFill patternType="solid">
        <fgColor rgb="FFFFFF99"/>
        <bgColor rgb="FFFFFF99"/>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29" fillId="0" borderId="0" applyNumberFormat="0" applyFill="0" applyBorder="0" applyAlignment="0" applyProtection="0"/>
  </cellStyleXfs>
  <cellXfs count="355">
    <xf numFmtId="0" fontId="0" fillId="0" borderId="0" xfId="0"/>
    <xf numFmtId="0" fontId="2" fillId="0" borderId="0" xfId="0" applyFont="1" applyProtection="1">
      <protection locked="0"/>
    </xf>
    <xf numFmtId="0" fontId="2" fillId="0" borderId="0" xfId="0"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protection locked="0"/>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1" fontId="2" fillId="4" borderId="1"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vertical="center"/>
      <protection locked="0"/>
    </xf>
    <xf numFmtId="0" fontId="3" fillId="0" borderId="0" xfId="0" applyFont="1" applyAlignment="1">
      <alignment horizontal="center" vertical="center"/>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9" fontId="3" fillId="0" borderId="0" xfId="0" applyNumberFormat="1" applyFont="1" applyAlignment="1">
      <alignment horizontal="center" vertical="center"/>
    </xf>
    <xf numFmtId="1" fontId="2" fillId="3" borderId="1" xfId="0" applyNumberFormat="1" applyFont="1" applyFill="1" applyBorder="1" applyAlignment="1" applyProtection="1">
      <alignment horizontal="left" vertical="center"/>
      <protection locked="0"/>
    </xf>
    <xf numFmtId="1" fontId="3" fillId="0" borderId="1" xfId="0" applyNumberFormat="1" applyFont="1" applyBorder="1" applyAlignment="1" applyProtection="1">
      <alignment horizontal="center" vertical="center"/>
      <protection locked="0"/>
    </xf>
    <xf numFmtId="0" fontId="17" fillId="0" borderId="1" xfId="0" applyFont="1" applyBorder="1" applyAlignment="1">
      <alignment horizontal="center" vertical="center"/>
    </xf>
    <xf numFmtId="0" fontId="3" fillId="0" borderId="0" xfId="0" applyFont="1" applyAlignment="1" applyProtection="1">
      <alignment horizontal="left" vertical="center" wrapText="1"/>
      <protection locked="0"/>
    </xf>
    <xf numFmtId="0" fontId="0" fillId="0" borderId="0" xfId="0" applyAlignment="1">
      <alignment horizontal="left" vertical="center" wrapText="1"/>
    </xf>
    <xf numFmtId="0" fontId="0" fillId="0" borderId="0" xfId="0" applyAlignment="1">
      <alignment horizontal="center"/>
    </xf>
    <xf numFmtId="0" fontId="2" fillId="0" borderId="0" xfId="0" applyFont="1" applyAlignment="1" applyProtection="1">
      <alignment horizontal="justify"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1" fontId="3" fillId="4" borderId="1" xfId="0" applyNumberFormat="1" applyFont="1" applyFill="1" applyBorder="1" applyAlignment="1">
      <alignment horizontal="center" vertical="center" wrapText="1"/>
    </xf>
    <xf numFmtId="1" fontId="2"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26" fillId="4" borderId="1" xfId="0" applyNumberFormat="1" applyFont="1" applyFill="1" applyBorder="1" applyAlignment="1">
      <alignment horizontal="center" vertical="center" wrapText="1"/>
    </xf>
    <xf numFmtId="0" fontId="3" fillId="4" borderId="1" xfId="0" applyFont="1" applyFill="1" applyBorder="1" applyAlignment="1" applyProtection="1">
      <alignment vertical="center" wrapText="1"/>
      <protection locked="0"/>
    </xf>
    <xf numFmtId="0" fontId="8" fillId="0" borderId="1" xfId="0" applyFont="1" applyBorder="1" applyAlignment="1">
      <alignment vertical="center" wrapText="1"/>
    </xf>
    <xf numFmtId="0" fontId="3" fillId="0" borderId="0" xfId="0" applyFont="1" applyAlignment="1" applyProtection="1">
      <alignment vertical="center"/>
      <protection locked="0"/>
    </xf>
    <xf numFmtId="0" fontId="2"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1" fontId="2" fillId="0" borderId="1" xfId="0" applyNumberFormat="1" applyFont="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0" fontId="8" fillId="10" borderId="16" xfId="0" applyFont="1" applyFill="1" applyBorder="1" applyAlignment="1">
      <alignment horizontal="center" vertical="center" wrapText="1"/>
    </xf>
    <xf numFmtId="2" fontId="2" fillId="3" borderId="1" xfId="0" applyNumberFormat="1" applyFont="1" applyFill="1" applyBorder="1" applyAlignment="1" applyProtection="1">
      <alignment horizontal="center" vertical="center" wrapText="1"/>
      <protection locked="0"/>
    </xf>
    <xf numFmtId="0" fontId="33" fillId="10" borderId="16" xfId="0" applyFont="1" applyFill="1" applyBorder="1" applyAlignment="1">
      <alignment horizontal="center" vertical="center" wrapText="1"/>
    </xf>
    <xf numFmtId="0" fontId="33" fillId="10" borderId="20" xfId="0" applyFont="1" applyFill="1" applyBorder="1" applyAlignment="1">
      <alignment horizontal="center" vertical="center" wrapText="1"/>
    </xf>
    <xf numFmtId="1" fontId="33" fillId="10" borderId="16" xfId="0" applyNumberFormat="1" applyFont="1" applyFill="1" applyBorder="1" applyAlignment="1">
      <alignment horizontal="left" vertical="center"/>
    </xf>
    <xf numFmtId="1" fontId="2" fillId="3" borderId="1" xfId="0" applyNumberFormat="1" applyFont="1" applyFill="1" applyBorder="1" applyAlignment="1" applyProtection="1">
      <alignment horizontal="left" vertical="center" wrapText="1"/>
      <protection locked="0"/>
    </xf>
    <xf numFmtId="1" fontId="8" fillId="10" borderId="16" xfId="0" applyNumberFormat="1" applyFont="1" applyFill="1" applyBorder="1" applyAlignment="1">
      <alignment horizontal="left" vertical="center"/>
    </xf>
    <xf numFmtId="0" fontId="16" fillId="7" borderId="0" xfId="0" applyFont="1" applyFill="1" applyAlignment="1" applyProtection="1">
      <alignment horizontal="left" vertical="center" wrapText="1"/>
      <protection locked="0"/>
    </xf>
    <xf numFmtId="0" fontId="16" fillId="7" borderId="0" xfId="0" applyFont="1" applyFill="1" applyAlignment="1" applyProtection="1">
      <alignment vertical="center" wrapText="1"/>
      <protection locked="0"/>
    </xf>
    <xf numFmtId="0" fontId="30" fillId="3" borderId="1" xfId="0" applyFont="1" applyFill="1" applyBorder="1" applyAlignment="1" applyProtection="1">
      <alignment horizontal="center" vertical="center"/>
      <protection locked="0"/>
    </xf>
    <xf numFmtId="0" fontId="16" fillId="7" borderId="0" xfId="0" applyFont="1" applyFill="1" applyAlignment="1" applyProtection="1">
      <alignment vertical="center"/>
      <protection locked="0"/>
    </xf>
    <xf numFmtId="2" fontId="30" fillId="3" borderId="1" xfId="0" applyNumberFormat="1" applyFont="1" applyFill="1" applyBorder="1" applyAlignment="1" applyProtection="1">
      <alignment horizontal="center" vertical="center"/>
      <protection locked="0"/>
    </xf>
    <xf numFmtId="0" fontId="2" fillId="7" borderId="0" xfId="0" applyFont="1" applyFill="1" applyAlignment="1" applyProtection="1">
      <alignment vertical="top"/>
      <protection locked="0"/>
    </xf>
    <xf numFmtId="1" fontId="7" fillId="0" borderId="1" xfId="0" applyNumberFormat="1" applyFont="1" applyBorder="1" applyAlignment="1">
      <alignment horizontal="center" vertical="center"/>
    </xf>
    <xf numFmtId="1" fontId="7" fillId="0" borderId="1" xfId="0" applyNumberFormat="1" applyFont="1" applyBorder="1" applyAlignment="1" applyProtection="1">
      <alignment horizontal="center" vertical="center"/>
      <protection locked="0"/>
    </xf>
    <xf numFmtId="0" fontId="16" fillId="7" borderId="0" xfId="0" applyFont="1" applyFill="1" applyAlignment="1" applyProtection="1">
      <alignment horizontal="left" vertical="center"/>
      <protection locked="0"/>
    </xf>
    <xf numFmtId="0" fontId="16" fillId="10" borderId="16"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6" fillId="7" borderId="0" xfId="0" applyFont="1" applyFill="1" applyAlignment="1">
      <alignment vertical="center"/>
    </xf>
    <xf numFmtId="1" fontId="2" fillId="7" borderId="1" xfId="0" applyNumberFormat="1" applyFont="1" applyFill="1" applyBorder="1" applyAlignment="1">
      <alignment horizontal="center" vertical="center"/>
    </xf>
    <xf numFmtId="1" fontId="2" fillId="7"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xf>
    <xf numFmtId="0" fontId="16" fillId="7"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30" fillId="7" borderId="0" xfId="0" applyFont="1" applyFill="1" applyAlignment="1" applyProtection="1">
      <alignment horizontal="left" vertical="center" wrapText="1"/>
      <protection locked="0"/>
    </xf>
    <xf numFmtId="0" fontId="31" fillId="0" borderId="0" xfId="1" applyFont="1" applyBorder="1" applyAlignment="1" applyProtection="1">
      <alignment horizontal="left" vertical="center"/>
      <protection locked="0"/>
    </xf>
    <xf numFmtId="0" fontId="2" fillId="7" borderId="0" xfId="0" applyFont="1" applyFill="1" applyAlignment="1" applyProtection="1">
      <alignment horizontal="left" vertical="center" wrapText="1"/>
      <protection locked="0"/>
    </xf>
    <xf numFmtId="0" fontId="2" fillId="0" borderId="9"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7" fillId="0" borderId="0" xfId="0" applyFont="1" applyAlignment="1">
      <alignment horizontal="center" vertical="center"/>
    </xf>
    <xf numFmtId="0" fontId="3"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25" fillId="0" borderId="1" xfId="0" applyFont="1" applyBorder="1" applyAlignment="1" applyProtection="1">
      <alignment horizontal="left" vertical="top" wrapText="1"/>
      <protection locked="0"/>
    </xf>
    <xf numFmtId="0" fontId="8"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2" fillId="0" borderId="0" xfId="0" applyFont="1" applyAlignment="1" applyProtection="1">
      <alignment horizontal="justify"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41" fillId="0" borderId="0" xfId="0" applyFont="1" applyAlignment="1" applyProtection="1">
      <alignment vertical="center"/>
      <protection locked="0"/>
    </xf>
    <xf numFmtId="0" fontId="9" fillId="0" borderId="1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3" fillId="11" borderId="17" xfId="0" applyFont="1" applyFill="1" applyBorder="1" applyAlignment="1">
      <alignment horizontal="left" vertical="center" wrapText="1"/>
    </xf>
    <xf numFmtId="0" fontId="34" fillId="3" borderId="18" xfId="0" applyFont="1" applyFill="1" applyBorder="1"/>
    <xf numFmtId="0" fontId="34" fillId="3" borderId="19" xfId="0" applyFont="1" applyFill="1" applyBorder="1"/>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Alignment="1">
      <alignment vertical="center" wrapText="1"/>
    </xf>
    <xf numFmtId="0" fontId="2" fillId="0" borderId="0" xfId="0" applyFont="1" applyAlignment="1" applyProtection="1">
      <alignment horizontal="left" vertical="top" wrapText="1"/>
      <protection locked="0"/>
    </xf>
    <xf numFmtId="0" fontId="34" fillId="0" borderId="18" xfId="0" applyFont="1" applyBorder="1"/>
    <xf numFmtId="0" fontId="34" fillId="0" borderId="19" xfId="0" applyFont="1" applyBorder="1"/>
    <xf numFmtId="1" fontId="2" fillId="3" borderId="3"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1" fontId="2" fillId="3" borderId="9" xfId="0" applyNumberFormat="1" applyFont="1" applyFill="1" applyBorder="1" applyAlignment="1" applyProtection="1">
      <alignment horizontal="left" vertical="center" wrapText="1"/>
      <protection locked="0"/>
    </xf>
    <xf numFmtId="1" fontId="2" fillId="3" borderId="4" xfId="0"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left" vertical="center" wrapText="1"/>
      <protection locked="0"/>
    </xf>
    <xf numFmtId="1" fontId="2" fillId="3" borderId="11" xfId="0" applyNumberFormat="1" applyFont="1" applyFill="1" applyBorder="1" applyAlignment="1" applyProtection="1">
      <alignment horizontal="left" vertical="center" wrapText="1"/>
      <protection locked="0"/>
    </xf>
    <xf numFmtId="1" fontId="2" fillId="3" borderId="7" xfId="0" applyNumberFormat="1" applyFont="1" applyFill="1" applyBorder="1" applyAlignment="1" applyProtection="1">
      <alignment horizontal="left" vertical="center" wrapText="1"/>
      <protection locked="0"/>
    </xf>
    <xf numFmtId="1" fontId="2" fillId="3" borderId="8" xfId="0" applyNumberFormat="1" applyFont="1" applyFill="1" applyBorder="1" applyAlignment="1" applyProtection="1">
      <alignment horizontal="left" vertical="center" wrapText="1"/>
      <protection locked="0"/>
    </xf>
    <xf numFmtId="1" fontId="2" fillId="3" borderId="3" xfId="0" applyNumberFormat="1" applyFont="1" applyFill="1" applyBorder="1" applyAlignment="1" applyProtection="1">
      <alignment horizontal="center" vertical="center"/>
      <protection locked="0"/>
    </xf>
    <xf numFmtId="1" fontId="2" fillId="3" borderId="1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0" borderId="0" xfId="0" applyFont="1" applyAlignment="1">
      <alignment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0" fontId="14" fillId="4" borderId="2" xfId="0" applyNumberFormat="1" applyFont="1" applyFill="1" applyBorder="1" applyAlignment="1">
      <alignment horizontal="center" vertical="center" wrapText="1"/>
    </xf>
    <xf numFmtId="10" fontId="14" fillId="4" borderId="5" xfId="0" applyNumberFormat="1" applyFont="1" applyFill="1" applyBorder="1" applyAlignment="1">
      <alignment horizontal="center" vertical="center" wrapText="1"/>
    </xf>
    <xf numFmtId="10" fontId="14" fillId="4" borderId="6" xfId="0" applyNumberFormat="1" applyFont="1" applyFill="1" applyBorder="1" applyAlignment="1">
      <alignment horizontal="center" vertical="center" wrapText="1"/>
    </xf>
    <xf numFmtId="0" fontId="3" fillId="0" borderId="0" xfId="0" applyFont="1" applyAlignment="1">
      <alignment horizontal="left" vertical="center" wrapText="1"/>
    </xf>
    <xf numFmtId="1"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0" fontId="42" fillId="3" borderId="1" xfId="0" applyFont="1" applyFill="1" applyBorder="1" applyAlignment="1">
      <alignment horizontal="center" vertical="center"/>
    </xf>
    <xf numFmtId="1" fontId="14" fillId="4" borderId="2"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1" fontId="3" fillId="0" borderId="2" xfId="0" applyNumberFormat="1" applyFont="1" applyBorder="1" applyAlignment="1" applyProtection="1">
      <alignment horizontal="center" vertical="center" wrapText="1"/>
      <protection locked="0"/>
    </xf>
    <xf numFmtId="1" fontId="3" fillId="0" borderId="5" xfId="0" applyNumberFormat="1" applyFont="1" applyBorder="1" applyAlignment="1" applyProtection="1">
      <alignment horizontal="center" vertical="center" wrapText="1"/>
      <protection locked="0"/>
    </xf>
    <xf numFmtId="1" fontId="3" fillId="0" borderId="6" xfId="0" applyNumberFormat="1" applyFont="1" applyBorder="1" applyAlignment="1" applyProtection="1">
      <alignment horizontal="center" vertical="center" wrapText="1"/>
      <protection locked="0"/>
    </xf>
    <xf numFmtId="1" fontId="2" fillId="4" borderId="2" xfId="0" applyNumberFormat="1" applyFont="1" applyFill="1" applyBorder="1" applyAlignment="1" applyProtection="1">
      <alignment horizontal="left" vertical="center" wrapText="1"/>
      <protection locked="0"/>
    </xf>
    <xf numFmtId="1" fontId="2" fillId="4" borderId="5" xfId="0" applyNumberFormat="1" applyFont="1" applyFill="1" applyBorder="1" applyAlignment="1" applyProtection="1">
      <alignment horizontal="left" vertical="center" wrapText="1"/>
      <protection locked="0"/>
    </xf>
    <xf numFmtId="1" fontId="2" fillId="4" borderId="6" xfId="0" applyNumberFormat="1" applyFont="1" applyFill="1" applyBorder="1" applyAlignment="1" applyProtection="1">
      <alignment horizontal="left" vertical="center" wrapText="1"/>
      <protection locked="0"/>
    </xf>
    <xf numFmtId="0" fontId="3" fillId="4" borderId="1" xfId="0" applyFont="1" applyFill="1" applyBorder="1" applyAlignment="1">
      <alignment horizontal="left" vertical="center" wrapText="1"/>
    </xf>
    <xf numFmtId="1" fontId="3" fillId="4" borderId="2"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4" fillId="3" borderId="18" xfId="0" applyFont="1" applyFill="1" applyBorder="1" applyAlignment="1">
      <alignment wrapText="1"/>
    </xf>
    <xf numFmtId="0" fontId="34" fillId="3" borderId="19" xfId="0" applyFont="1" applyFill="1" applyBorder="1" applyAlignment="1">
      <alignment wrapText="1"/>
    </xf>
    <xf numFmtId="1" fontId="3" fillId="4" borderId="1" xfId="0" applyNumberFormat="1" applyFont="1" applyFill="1" applyBorder="1" applyAlignment="1">
      <alignment horizontal="center" vertical="center" wrapText="1"/>
    </xf>
    <xf numFmtId="9" fontId="2" fillId="0" borderId="2" xfId="0" applyNumberFormat="1" applyFont="1" applyBorder="1" applyAlignment="1">
      <alignment horizontal="center"/>
    </xf>
    <xf numFmtId="9" fontId="2" fillId="0" borderId="6" xfId="0" applyNumberFormat="1" applyFont="1" applyBorder="1" applyAlignment="1">
      <alignment horizont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0" fontId="3" fillId="0" borderId="1" xfId="0" applyNumberFormat="1" applyFont="1" applyBorder="1" applyAlignment="1" applyProtection="1">
      <alignment horizontal="center" vertical="center"/>
      <protection locked="0"/>
    </xf>
    <xf numFmtId="2" fontId="2" fillId="4"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xf>
    <xf numFmtId="0" fontId="2" fillId="6" borderId="14" xfId="0" applyFont="1" applyFill="1" applyBorder="1" applyAlignment="1">
      <alignment vertical="center" wrapText="1"/>
    </xf>
    <xf numFmtId="0" fontId="2" fillId="6" borderId="0" xfId="0" applyFont="1" applyFill="1" applyAlignment="1">
      <alignment vertical="center" wrapText="1"/>
    </xf>
    <xf numFmtId="0" fontId="3" fillId="5" borderId="0" xfId="0" applyFont="1" applyFill="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1"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1" fontId="33" fillId="10" borderId="17" xfId="0" applyNumberFormat="1" applyFont="1" applyFill="1" applyBorder="1" applyAlignment="1">
      <alignment horizontal="left" vertical="center"/>
    </xf>
    <xf numFmtId="1" fontId="33" fillId="10" borderId="17" xfId="0" applyNumberFormat="1" applyFont="1" applyFill="1" applyBorder="1" applyAlignment="1">
      <alignment horizontal="left" vertical="center" wrapText="1"/>
    </xf>
    <xf numFmtId="0" fontId="2"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5" xfId="0" applyNumberFormat="1" applyFont="1" applyBorder="1" applyAlignment="1" applyProtection="1">
      <alignment horizontal="center" vertical="center"/>
      <protection locked="0"/>
    </xf>
    <xf numFmtId="10" fontId="3" fillId="0" borderId="6"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10" fontId="3" fillId="0" borderId="1" xfId="0" applyNumberFormat="1" applyFont="1" applyBorder="1" applyAlignment="1" applyProtection="1">
      <alignment horizontal="left" vertical="center"/>
      <protection locked="0"/>
    </xf>
    <xf numFmtId="2" fontId="2" fillId="0" borderId="9" xfId="0" applyNumberFormat="1" applyFont="1" applyBorder="1" applyAlignment="1">
      <alignment horizontal="center" vertical="center"/>
    </xf>
    <xf numFmtId="2" fontId="2" fillId="0" borderId="4" xfId="0" applyNumberFormat="1" applyFont="1" applyBorder="1" applyAlignment="1">
      <alignment horizontal="center" vertical="center"/>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8" xfId="0" applyNumberFormat="1" applyFont="1" applyBorder="1" applyAlignment="1">
      <alignment horizontal="center" vertical="center"/>
    </xf>
    <xf numFmtId="0" fontId="3" fillId="0" borderId="1" xfId="0" applyFont="1" applyBorder="1" applyAlignment="1" applyProtection="1">
      <alignment horizontal="center" vertical="center"/>
      <protection locked="0"/>
    </xf>
    <xf numFmtId="1" fontId="2" fillId="0" borderId="3" xfId="0" applyNumberFormat="1" applyFont="1" applyBorder="1" applyAlignment="1">
      <alignment horizontal="center" vertical="center"/>
    </xf>
    <xf numFmtId="1" fontId="2" fillId="0" borderId="12" xfId="0" applyNumberFormat="1" applyFont="1" applyBorder="1" applyAlignment="1">
      <alignment horizontal="center" vertical="center"/>
    </xf>
    <xf numFmtId="0" fontId="2" fillId="0" borderId="1" xfId="0" applyFont="1" applyBorder="1" applyAlignment="1">
      <alignment horizontal="left" vertical="top"/>
    </xf>
    <xf numFmtId="0" fontId="3" fillId="0" borderId="0" xfId="0" applyFont="1" applyAlignment="1" applyProtection="1">
      <alignment horizontal="left" vertical="center"/>
      <protection locked="0"/>
    </xf>
    <xf numFmtId="1" fontId="3" fillId="0" borderId="1" xfId="0" applyNumberFormat="1"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4" fillId="0" borderId="4" xfId="0" applyFont="1" applyBorder="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1" fontId="2" fillId="3" borderId="1" xfId="0" applyNumberFormat="1" applyFont="1" applyFill="1" applyBorder="1" applyAlignment="1" applyProtection="1">
      <alignment horizontal="left" vertical="center"/>
      <protection locked="0"/>
    </xf>
    <xf numFmtId="2" fontId="2" fillId="3" borderId="3" xfId="0" applyNumberFormat="1" applyFont="1" applyFill="1" applyBorder="1" applyAlignment="1" applyProtection="1">
      <alignment horizontal="center" vertical="center"/>
      <protection locked="0"/>
    </xf>
    <xf numFmtId="2" fontId="2" fillId="3" borderId="1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1" fontId="33" fillId="10" borderId="21" xfId="0" applyNumberFormat="1" applyFont="1" applyFill="1" applyBorder="1" applyAlignment="1">
      <alignment horizontal="left" vertical="center" wrapText="1"/>
    </xf>
    <xf numFmtId="1" fontId="33" fillId="10" borderId="22" xfId="0" applyNumberFormat="1" applyFont="1" applyFill="1" applyBorder="1" applyAlignment="1">
      <alignment horizontal="left" vertical="center" wrapText="1"/>
    </xf>
    <xf numFmtId="1" fontId="33" fillId="10" borderId="23" xfId="0" applyNumberFormat="1" applyFont="1" applyFill="1" applyBorder="1" applyAlignment="1">
      <alignment horizontal="left" vertical="center" wrapText="1"/>
    </xf>
    <xf numFmtId="2" fontId="2"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9" fontId="3" fillId="0" borderId="2" xfId="0" applyNumberFormat="1" applyFont="1" applyBorder="1" applyAlignment="1">
      <alignment horizontal="center" vertical="center"/>
    </xf>
    <xf numFmtId="9" fontId="3" fillId="0" borderId="6" xfId="0" applyNumberFormat="1" applyFont="1" applyBorder="1" applyAlignment="1">
      <alignment horizontal="center" vertical="center"/>
    </xf>
    <xf numFmtId="0" fontId="2" fillId="0" borderId="14" xfId="0" applyFont="1" applyBorder="1" applyProtection="1">
      <protection locked="0"/>
    </xf>
    <xf numFmtId="0" fontId="2" fillId="0" borderId="0" xfId="0" applyFont="1" applyProtection="1">
      <protection locked="0"/>
    </xf>
    <xf numFmtId="0" fontId="3" fillId="0" borderId="7" xfId="0" applyFont="1" applyBorder="1" applyAlignment="1" applyProtection="1">
      <alignment horizontal="left"/>
      <protection locked="0"/>
    </xf>
    <xf numFmtId="1" fontId="3" fillId="0" borderId="2"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0" fontId="2" fillId="0" borderId="2"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6" xfId="0" applyFont="1" applyBorder="1" applyAlignment="1">
      <alignment horizontal="center"/>
    </xf>
    <xf numFmtId="1" fontId="2" fillId="0" borderId="2"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2" borderId="2"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6" fillId="7" borderId="9"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4" fillId="8" borderId="9" xfId="0" applyFont="1" applyFill="1" applyBorder="1" applyAlignment="1" applyProtection="1">
      <alignment horizontal="center" vertical="center" wrapText="1"/>
      <protection locked="0"/>
    </xf>
    <xf numFmtId="0" fontId="14" fillId="8" borderId="10" xfId="0" applyFont="1" applyFill="1" applyBorder="1" applyAlignment="1" applyProtection="1">
      <alignment horizontal="center" vertical="center" wrapText="1"/>
      <protection locked="0"/>
    </xf>
    <xf numFmtId="0" fontId="14" fillId="8" borderId="11" xfId="0" applyFont="1" applyFill="1" applyBorder="1" applyAlignment="1" applyProtection="1">
      <alignment horizontal="center" vertical="center" wrapText="1"/>
      <protection locked="0"/>
    </xf>
    <xf numFmtId="0" fontId="14" fillId="8" borderId="8" xfId="0"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vertical="center" wrapText="1"/>
      <protection locked="0"/>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center" wrapText="1"/>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8" borderId="1" xfId="0" applyFont="1" applyFill="1" applyBorder="1" applyAlignment="1" applyProtection="1">
      <alignment horizontal="justify" vertical="center" wrapText="1"/>
      <protection locked="0"/>
    </xf>
    <xf numFmtId="10" fontId="2" fillId="0" borderId="2" xfId="0" applyNumberFormat="1" applyFont="1" applyBorder="1" applyAlignment="1" applyProtection="1">
      <alignment horizontal="center" vertical="center" wrapText="1"/>
      <protection locked="0"/>
    </xf>
    <xf numFmtId="10" fontId="2" fillId="0" borderId="6"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5" xfId="0" applyNumberFormat="1" applyFont="1" applyBorder="1" applyAlignment="1" applyProtection="1">
      <alignment horizontal="center" vertical="center" wrapText="1"/>
      <protection locked="0"/>
    </xf>
    <xf numFmtId="0" fontId="16" fillId="7"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1" fontId="2" fillId="4" borderId="1" xfId="0" applyNumberFormat="1" applyFont="1" applyFill="1" applyBorder="1" applyAlignment="1" applyProtection="1">
      <alignment horizontal="left" vertical="center" wrapText="1"/>
      <protection locked="0"/>
    </xf>
    <xf numFmtId="1" fontId="3" fillId="4" borderId="2" xfId="0" applyNumberFormat="1" applyFont="1" applyFill="1" applyBorder="1" applyAlignment="1" applyProtection="1">
      <alignment horizontal="center" vertical="center" wrapText="1"/>
      <protection locked="0"/>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2" fillId="4" borderId="2" xfId="0" applyNumberFormat="1" applyFont="1" applyFill="1" applyBorder="1" applyAlignment="1" applyProtection="1">
      <alignment horizontal="left" vertical="justify" wrapText="1"/>
      <protection locked="0"/>
    </xf>
    <xf numFmtId="1" fontId="2" fillId="4" borderId="5" xfId="0" applyNumberFormat="1" applyFont="1" applyFill="1" applyBorder="1" applyAlignment="1" applyProtection="1">
      <alignment horizontal="left" vertical="justify" wrapText="1"/>
      <protection locked="0"/>
    </xf>
    <xf numFmtId="1" fontId="2" fillId="4" borderId="6" xfId="0" applyNumberFormat="1" applyFont="1" applyFill="1" applyBorder="1" applyAlignment="1" applyProtection="1">
      <alignment horizontal="left" vertical="justify" wrapText="1"/>
      <protection locked="0"/>
    </xf>
    <xf numFmtId="0" fontId="3" fillId="0" borderId="0" xfId="0" applyFont="1" applyAlignment="1" applyProtection="1">
      <alignment vertical="center"/>
      <protection locked="0"/>
    </xf>
    <xf numFmtId="0" fontId="20" fillId="0" borderId="0" xfId="0" applyFont="1" applyAlignment="1">
      <alignment horizontal="center"/>
    </xf>
    <xf numFmtId="0" fontId="20" fillId="9" borderId="1" xfId="0" applyFont="1" applyFill="1" applyBorder="1" applyAlignment="1">
      <alignment horizontal="left" vertical="center" wrapText="1"/>
    </xf>
    <xf numFmtId="0" fontId="0" fillId="9" borderId="1" xfId="0" applyFill="1" applyBorder="1" applyAlignment="1">
      <alignment horizont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xf>
    <xf numFmtId="0" fontId="0" fillId="9" borderId="2" xfId="0" applyFill="1" applyBorder="1" applyAlignment="1">
      <alignment horizontal="center"/>
    </xf>
    <xf numFmtId="0" fontId="0" fillId="9" borderId="6"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0" fillId="9" borderId="2" xfId="0" applyFont="1" applyFill="1" applyBorder="1" applyAlignment="1">
      <alignment horizontal="left"/>
    </xf>
    <xf numFmtId="0" fontId="20" fillId="9" borderId="5" xfId="0" applyFont="1" applyFill="1" applyBorder="1" applyAlignment="1">
      <alignment horizontal="left"/>
    </xf>
    <xf numFmtId="0" fontId="20" fillId="9" borderId="6" xfId="0" applyFont="1" applyFill="1" applyBorder="1" applyAlignment="1">
      <alignment horizontal="left"/>
    </xf>
  </cellXfs>
  <cellStyles count="2">
    <cellStyle name="Hyperlink" xfId="1" builtinId="8"/>
    <cellStyle name="Normal" xfId="0" builtinId="0"/>
  </cellStyles>
  <dxfs count="71">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ont>
        <condense val="0"/>
        <extend val="0"/>
        <color rgb="FF006100"/>
      </font>
      <fill>
        <patternFill>
          <bgColor rgb="FFC6EFCE"/>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C00000"/>
        </patternFill>
      </fill>
    </dxf>
    <dxf>
      <fill>
        <patternFill>
          <bgColor rgb="FFC00000"/>
        </patternFill>
      </fill>
    </dxf>
    <dxf>
      <font>
        <condense val="0"/>
        <extend val="0"/>
        <color rgb="FF006100"/>
      </font>
      <fill>
        <patternFill>
          <bgColor rgb="FFC6EFCE"/>
        </patternFill>
      </fill>
    </dxf>
    <dxf>
      <fill>
        <patternFill>
          <bgColor rgb="FFFF0000"/>
        </patternFill>
      </fill>
    </dxf>
    <dxf>
      <font>
        <condense val="0"/>
        <extend val="0"/>
        <color rgb="FF9C0006"/>
      </font>
      <fill>
        <patternFill>
          <bgColor rgb="FFFFC7CE"/>
        </patternFill>
      </fill>
    </dxf>
    <dxf>
      <fill>
        <patternFill>
          <bgColor rgb="FF00B050"/>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223766</xdr:colOff>
      <xdr:row>68</xdr:row>
      <xdr:rowOff>65851</xdr:rowOff>
    </xdr:from>
    <xdr:to>
      <xdr:col>8</xdr:col>
      <xdr:colOff>173216</xdr:colOff>
      <xdr:row>71</xdr:row>
      <xdr:rowOff>120076</xdr:rowOff>
    </xdr:to>
    <xdr:pic>
      <xdr:nvPicPr>
        <xdr:cNvPr id="3" name="I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0841" y="11505376"/>
          <a:ext cx="540000" cy="540000"/>
        </a:xfrm>
        <a:prstGeom prst="rect">
          <a:avLst/>
        </a:prstGeom>
      </xdr:spPr>
    </xdr:pic>
    <xdr:clientData/>
  </xdr:twoCellAnchor>
  <xdr:twoCellAnchor>
    <xdr:from>
      <xdr:col>0</xdr:col>
      <xdr:colOff>61595</xdr:colOff>
      <xdr:row>68</xdr:row>
      <xdr:rowOff>50678</xdr:rowOff>
    </xdr:from>
    <xdr:to>
      <xdr:col>0</xdr:col>
      <xdr:colOff>601595</xdr:colOff>
      <xdr:row>71</xdr:row>
      <xdr:rowOff>104903</xdr:rowOff>
    </xdr:to>
    <xdr:pic>
      <xdr:nvPicPr>
        <xdr:cNvPr id="28" name="I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95" y="11490203"/>
          <a:ext cx="540000" cy="540000"/>
        </a:xfrm>
        <a:prstGeom prst="rect">
          <a:avLst/>
        </a:prstGeom>
      </xdr:spPr>
    </xdr:pic>
    <xdr:clientData/>
  </xdr:twoCellAnchor>
  <xdr:twoCellAnchor>
    <xdr:from>
      <xdr:col>0</xdr:col>
      <xdr:colOff>633136</xdr:colOff>
      <xdr:row>68</xdr:row>
      <xdr:rowOff>53713</xdr:rowOff>
    </xdr:from>
    <xdr:to>
      <xdr:col>1</xdr:col>
      <xdr:colOff>506386</xdr:colOff>
      <xdr:row>71</xdr:row>
      <xdr:rowOff>107938</xdr:rowOff>
    </xdr:to>
    <xdr:pic>
      <xdr:nvPicPr>
        <xdr:cNvPr id="29" name="I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3136" y="11493238"/>
          <a:ext cx="540000" cy="540000"/>
        </a:xfrm>
        <a:prstGeom prst="rect">
          <a:avLst/>
        </a:prstGeom>
      </xdr:spPr>
    </xdr:pic>
    <xdr:clientData/>
  </xdr:twoCellAnchor>
  <xdr:twoCellAnchor>
    <xdr:from>
      <xdr:col>2</xdr:col>
      <xdr:colOff>23577</xdr:colOff>
      <xdr:row>68</xdr:row>
      <xdr:rowOff>47644</xdr:rowOff>
    </xdr:from>
    <xdr:to>
      <xdr:col>3</xdr:col>
      <xdr:colOff>39702</xdr:colOff>
      <xdr:row>71</xdr:row>
      <xdr:rowOff>101869</xdr:rowOff>
    </xdr:to>
    <xdr:pic>
      <xdr:nvPicPr>
        <xdr:cNvPr id="30" name="Imagin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4677" y="11487169"/>
          <a:ext cx="540000" cy="540000"/>
        </a:xfrm>
        <a:prstGeom prst="rect">
          <a:avLst/>
        </a:prstGeom>
      </xdr:spPr>
    </xdr:pic>
    <xdr:clientData/>
  </xdr:twoCellAnchor>
  <xdr:oneCellAnchor>
    <xdr:from>
      <xdr:col>0</xdr:col>
      <xdr:colOff>65485</xdr:colOff>
      <xdr:row>64</xdr:row>
      <xdr:rowOff>59532</xdr:rowOff>
    </xdr:from>
    <xdr:ext cx="540000" cy="537618"/>
    <xdr:pic>
      <xdr:nvPicPr>
        <xdr:cNvPr id="36" name="I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5485" y="11270457"/>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309409</xdr:colOff>
      <xdr:row>68</xdr:row>
      <xdr:rowOff>59782</xdr:rowOff>
    </xdr:from>
    <xdr:to>
      <xdr:col>6</xdr:col>
      <xdr:colOff>201709</xdr:colOff>
      <xdr:row>71</xdr:row>
      <xdr:rowOff>114007</xdr:rowOff>
    </xdr:to>
    <xdr:pic>
      <xdr:nvPicPr>
        <xdr:cNvPr id="2" name="Imagine 1">
          <a:extLst>
            <a:ext uri="{FF2B5EF4-FFF2-40B4-BE49-F238E27FC236}">
              <a16:creationId xmlns:a16="http://schemas.microsoft.com/office/drawing/2014/main" id="{85E1A71C-4767-0277-3124-59D81B9162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47759" y="11499307"/>
          <a:ext cx="540000" cy="540000"/>
        </a:xfrm>
        <a:prstGeom prst="rect">
          <a:avLst/>
        </a:prstGeom>
      </xdr:spPr>
    </xdr:pic>
    <xdr:clientData/>
  </xdr:twoCellAnchor>
  <xdr:twoCellAnchor>
    <xdr:from>
      <xdr:col>6</xdr:col>
      <xdr:colOff>233250</xdr:colOff>
      <xdr:row>68</xdr:row>
      <xdr:rowOff>56747</xdr:rowOff>
    </xdr:from>
    <xdr:to>
      <xdr:col>7</xdr:col>
      <xdr:colOff>192225</xdr:colOff>
      <xdr:row>71</xdr:row>
      <xdr:rowOff>110972</xdr:rowOff>
    </xdr:to>
    <xdr:pic>
      <xdr:nvPicPr>
        <xdr:cNvPr id="4" name="Imagine 3">
          <a:extLst>
            <a:ext uri="{FF2B5EF4-FFF2-40B4-BE49-F238E27FC236}">
              <a16:creationId xmlns:a16="http://schemas.microsoft.com/office/drawing/2014/main" id="{50B35D0E-B028-E576-1F64-213221DE6D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19300" y="11496272"/>
          <a:ext cx="540000" cy="540000"/>
        </a:xfrm>
        <a:prstGeom prst="rect">
          <a:avLst/>
        </a:prstGeom>
      </xdr:spPr>
    </xdr:pic>
    <xdr:clientData/>
  </xdr:twoCellAnchor>
  <xdr:twoCellAnchor>
    <xdr:from>
      <xdr:col>3</xdr:col>
      <xdr:colOff>71243</xdr:colOff>
      <xdr:row>68</xdr:row>
      <xdr:rowOff>62817</xdr:rowOff>
    </xdr:from>
    <xdr:to>
      <xdr:col>4</xdr:col>
      <xdr:colOff>277868</xdr:colOff>
      <xdr:row>71</xdr:row>
      <xdr:rowOff>117042</xdr:rowOff>
    </xdr:to>
    <xdr:pic>
      <xdr:nvPicPr>
        <xdr:cNvPr id="5" name="Imagine 4">
          <a:extLst>
            <a:ext uri="{FF2B5EF4-FFF2-40B4-BE49-F238E27FC236}">
              <a16:creationId xmlns:a16="http://schemas.microsoft.com/office/drawing/2014/main" id="{936D31A0-0DD0-00C9-327B-72E1619DF8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76218" y="11502342"/>
          <a:ext cx="540000"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868040" y="858152"/>
              <a:ext cx="1277936" cy="190493"/>
              <a:chOff x="7356006" y="381885"/>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6006" y="381885"/>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twoCellAnchor>
    <xdr:from>
      <xdr:col>11</xdr:col>
      <xdr:colOff>609990</xdr:colOff>
      <xdr:row>10</xdr:row>
      <xdr:rowOff>95252</xdr:rowOff>
    </xdr:from>
    <xdr:to>
      <xdr:col>13</xdr:col>
      <xdr:colOff>602051</xdr:colOff>
      <xdr:row>12</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868040" y="1905002"/>
          <a:ext cx="1277936" cy="380992"/>
          <a:chOff x="7356004" y="381839"/>
          <a:chExt cx="1216705" cy="188695"/>
        </a:xfrm>
      </xdr:grpSpPr>
      <xdr:sp macro="" textlink="">
        <xdr:nvSpPr>
          <xdr:cNvPr id="2052" name="Group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7356004" y="381839"/>
            <a:ext cx="1216705" cy="188695"/>
          </a:xfrm>
          <a:prstGeom prst="rect">
            <a:avLst/>
          </a:prstGeom>
          <a:noFill/>
          <a:ln w="9525">
            <a:miter lim="800000"/>
            <a:headEnd/>
            <a:tailEnd/>
          </a:ln>
          <a:extLst>
            <a:ext uri="{909E8E84-426E-40DD-AFC4-6F175D3DCCD1}">
              <a14:hiddenFill xmlns:a14="http://schemas.microsoft.com/office/drawing/2010/main">
                <a:noFill/>
              </a14:hiddenFill>
            </a:ext>
          </a:extLst>
        </xdr:spPr>
      </xdr:sp>
      <xdr:sp macro="" textlink="">
        <xdr:nvSpPr>
          <xdr:cNvPr id="2053" name="Option Button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grpSp>
    <xdr:clientData/>
  </xdr:twoCellAnchor>
  <mc:AlternateContent xmlns:mc="http://schemas.openxmlformats.org/markup-compatibility/2006">
    <mc:Choice xmlns:a14="http://schemas.microsoft.com/office/drawing/2010/main" Requires="a14">
      <xdr:twoCellAnchor>
        <xdr:from>
          <xdr:col>11</xdr:col>
          <xdr:colOff>609990</xdr:colOff>
          <xdr:row>14</xdr:row>
          <xdr:rowOff>902</xdr:rowOff>
        </xdr:from>
        <xdr:to>
          <xdr:col>13</xdr:col>
          <xdr:colOff>602051</xdr:colOff>
          <xdr:row>15</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868040" y="2572652"/>
              <a:ext cx="1277936" cy="190492"/>
              <a:chOff x="7356006"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600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17</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868040" y="3242995"/>
              <a:ext cx="1277936" cy="380992"/>
              <a:chOff x="7356006"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600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868040" y="3814495"/>
              <a:ext cx="1277936" cy="190492"/>
              <a:chOff x="7356006"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600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868040" y="4195495"/>
              <a:ext cx="1277936" cy="190492"/>
              <a:chOff x="7356006"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600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867681" y="1523643"/>
              <a:ext cx="1277936" cy="190492"/>
              <a:chOff x="7356006"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600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10</xdr:row>
          <xdr:rowOff>95250</xdr:rowOff>
        </xdr:from>
        <xdr:to>
          <xdr:col>13</xdr:col>
          <xdr:colOff>619125</xdr:colOff>
          <xdr:row>12</xdr:row>
          <xdr:rowOff>123825</xdr:rowOff>
        </xdr:to>
        <xdr:grpSp>
          <xdr:nvGrpSpPr>
            <xdr:cNvPr id="2080" name="Group 32">
              <a:extLst>
                <a:ext uri="{FF2B5EF4-FFF2-40B4-BE49-F238E27FC236}">
                  <a16:creationId xmlns:a16="http://schemas.microsoft.com/office/drawing/2014/main" id="{7709731F-E62E-3742-E87D-914C4827A623}"/>
                </a:ext>
              </a:extLst>
            </xdr:cNvPr>
            <xdr:cNvGrpSpPr>
              <a:grpSpLocks/>
            </xdr:cNvGrpSpPr>
          </xdr:nvGrpSpPr>
          <xdr:grpSpPr bwMode="auto">
            <a:xfrm>
              <a:off x="7924800" y="1905000"/>
              <a:ext cx="1238250" cy="409575"/>
              <a:chOff x="73560" y="3818"/>
              <a:chExt cx="12167" cy="1887"/>
            </a:xfrm>
          </xdr:grpSpPr>
          <xdr:sp macro="" textlink="">
            <xdr:nvSpPr>
              <xdr:cNvPr id="3" name="Group Box 4" hidden="1">
                <a:extLst>
                  <a:ext uri="{63B3BB69-23CF-44E3-9099-C40C66FF867C}">
                    <a14:compatExt spid="_x0000_s2052"/>
                  </a:ext>
                  <a:ext uri="{FF2B5EF4-FFF2-40B4-BE49-F238E27FC236}">
                    <a16:creationId xmlns:a16="http://schemas.microsoft.com/office/drawing/2014/main" id="{00000000-0008-0000-0100-000003000000}"/>
                  </a:ext>
                </a:extLst>
              </xdr:cNvPr>
              <xdr:cNvSpPr/>
            </xdr:nvSpPr>
            <xdr:spPr bwMode="auto">
              <a:xfrm>
                <a:off x="73560" y="3818"/>
                <a:ext cx="12167" cy="1887"/>
              </a:xfrm>
              <a:prstGeom prst="rect">
                <a:avLst/>
              </a:prstGeom>
              <a:noFill/>
              <a:ln w="9525">
                <a:miter lim="800000"/>
                <a:headEnd/>
                <a:tailEnd/>
              </a:ln>
              <a:extLst>
                <a:ext uri="{909E8E84-426E-40DD-AFC4-6F175D3DCCD1}">
                  <a14:hiddenFill>
                    <a:noFill/>
                  </a14:hiddenFill>
                </a:ext>
              </a:extLst>
            </xdr:spPr>
          </xdr:sp>
          <xdr:sp macro="" textlink="">
            <xdr:nvSpPr>
              <xdr:cNvPr id="4" name="Option Button 5" hidden="1">
                <a:extLst>
                  <a:ext uri="{63B3BB69-23CF-44E3-9099-C40C66FF867C}">
                    <a14:compatExt spid="_x0000_s2053"/>
                  </a:ext>
                  <a:ext uri="{FF2B5EF4-FFF2-40B4-BE49-F238E27FC236}">
                    <a16:creationId xmlns:a16="http://schemas.microsoft.com/office/drawing/2014/main" id="{00000000-0008-0000-0100-000004000000}"/>
                  </a:ext>
                </a:extLst>
              </xdr:cNvPr>
              <xdr:cNvSpPr/>
            </xdr:nvSpPr>
            <xdr:spPr bwMode="auto">
              <a:xfrm>
                <a:off x="74708" y="3894"/>
                <a:ext cx="4299" cy="17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5" name="Option Button 6" hidden="1">
                <a:extLst>
                  <a:ext uri="{63B3BB69-23CF-44E3-9099-C40C66FF867C}">
                    <a14:compatExt spid="_x0000_s2054"/>
                  </a:ext>
                  <a:ext uri="{FF2B5EF4-FFF2-40B4-BE49-F238E27FC236}">
                    <a16:creationId xmlns:a16="http://schemas.microsoft.com/office/drawing/2014/main" id="{00000000-0008-0000-0100-000005000000}"/>
                  </a:ext>
                </a:extLst>
              </xdr:cNvPr>
              <xdr:cNvSpPr/>
            </xdr:nvSpPr>
            <xdr:spPr bwMode="auto">
              <a:xfrm>
                <a:off x="80761" y="3924"/>
                <a:ext cx="4374" cy="172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reen.ubbcluj.ro/procedura-de-aplicare-a-etichetelor-odd"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D300"/>
  <sheetViews>
    <sheetView tabSelected="1" showRuler="0" view="pageLayout" topLeftCell="A193" zoomScaleNormal="100" workbookViewId="0">
      <selection activeCell="M214" sqref="M214"/>
    </sheetView>
  </sheetViews>
  <sheetFormatPr defaultColWidth="9.140625" defaultRowHeight="12.75" x14ac:dyDescent="0.2"/>
  <cols>
    <col min="1" max="1" width="9"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7109375" style="1" customWidth="1"/>
    <col min="11" max="11" width="5.7109375" style="1" customWidth="1"/>
    <col min="12" max="12" width="6.140625" style="1" customWidth="1"/>
    <col min="13" max="13" width="5.42578125" style="1" customWidth="1"/>
    <col min="14" max="18" width="6" style="1" customWidth="1"/>
    <col min="19" max="19" width="6.140625" style="1" customWidth="1"/>
    <col min="20" max="20" width="9.425781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s="4" customFormat="1" x14ac:dyDescent="0.25">
      <c r="A1" s="238" t="s">
        <v>85</v>
      </c>
      <c r="B1" s="238"/>
      <c r="C1" s="238"/>
      <c r="D1" s="238"/>
      <c r="E1" s="238"/>
      <c r="F1" s="238"/>
      <c r="G1" s="238"/>
      <c r="H1" s="238"/>
      <c r="I1" s="238"/>
      <c r="J1" s="238"/>
      <c r="K1" s="238"/>
      <c r="M1" s="47"/>
      <c r="N1" s="47"/>
      <c r="O1" s="47"/>
      <c r="P1" s="47"/>
      <c r="Q1" s="47"/>
      <c r="R1" s="47"/>
      <c r="S1" s="47"/>
      <c r="T1" s="47"/>
    </row>
    <row r="2" spans="1:26" s="4" customFormat="1" ht="15" x14ac:dyDescent="0.25">
      <c r="A2" s="238"/>
      <c r="B2" s="238"/>
      <c r="C2" s="238"/>
      <c r="D2" s="238"/>
      <c r="E2" s="238"/>
      <c r="F2" s="238"/>
      <c r="G2" s="238"/>
      <c r="H2" s="238"/>
      <c r="I2" s="238"/>
      <c r="J2" s="238"/>
      <c r="K2" s="238"/>
      <c r="M2" s="322" t="s">
        <v>16</v>
      </c>
      <c r="N2" s="322"/>
      <c r="O2" s="322"/>
      <c r="P2" s="322"/>
      <c r="Q2" s="322"/>
      <c r="R2" s="322"/>
      <c r="S2" s="322"/>
      <c r="T2" s="322"/>
      <c r="Z2" s="41"/>
    </row>
    <row r="3" spans="1:26" s="4" customFormat="1" ht="15" x14ac:dyDescent="0.25">
      <c r="A3" s="214" t="s">
        <v>64</v>
      </c>
      <c r="B3" s="214"/>
      <c r="C3" s="214"/>
      <c r="D3" s="214"/>
      <c r="E3" s="214"/>
      <c r="F3" s="214"/>
      <c r="G3" s="214"/>
      <c r="H3" s="214"/>
      <c r="I3" s="214"/>
      <c r="J3" s="214"/>
      <c r="K3" s="214"/>
      <c r="M3" s="217"/>
      <c r="N3" s="218"/>
      <c r="O3" s="207" t="s">
        <v>31</v>
      </c>
      <c r="P3" s="208"/>
      <c r="Q3" s="209"/>
      <c r="R3" s="207" t="s">
        <v>32</v>
      </c>
      <c r="S3" s="208"/>
      <c r="T3" s="209"/>
      <c r="U3" s="204" t="str">
        <f>IF(O4&gt;=14,"Corect","Trebuie alocate cel puțin 14 de ore pe săptămână")</f>
        <v>Corect</v>
      </c>
      <c r="V3" s="205"/>
      <c r="W3" s="205"/>
      <c r="X3" s="205"/>
      <c r="Y3" s="41"/>
      <c r="Z3" s="41"/>
    </row>
    <row r="4" spans="1:26" s="4" customFormat="1" ht="15" x14ac:dyDescent="0.25">
      <c r="A4" s="214" t="s">
        <v>145</v>
      </c>
      <c r="B4" s="214"/>
      <c r="C4" s="214"/>
      <c r="D4" s="214"/>
      <c r="E4" s="214"/>
      <c r="F4" s="214"/>
      <c r="G4" s="214"/>
      <c r="H4" s="214"/>
      <c r="I4" s="214"/>
      <c r="J4" s="214"/>
      <c r="K4" s="214"/>
      <c r="M4" s="219" t="s">
        <v>12</v>
      </c>
      <c r="N4" s="220"/>
      <c r="O4" s="210">
        <f>N85</f>
        <v>14</v>
      </c>
      <c r="P4" s="211"/>
      <c r="Q4" s="212"/>
      <c r="R4" s="210">
        <f>N99</f>
        <v>16</v>
      </c>
      <c r="S4" s="211"/>
      <c r="T4" s="212"/>
      <c r="U4" s="204" t="str">
        <f>IF(R4&gt;=14,"Corect","Trebuie alocate cel puțin 14 de ore pe săptămână")</f>
        <v>Corect</v>
      </c>
      <c r="V4" s="205"/>
      <c r="W4" s="205"/>
      <c r="X4" s="205"/>
      <c r="Y4" s="41"/>
      <c r="Z4" s="41"/>
    </row>
    <row r="5" spans="1:26" s="4" customFormat="1" ht="15" x14ac:dyDescent="0.25">
      <c r="A5" s="2"/>
      <c r="B5" s="2"/>
      <c r="C5" s="2"/>
      <c r="D5" s="2"/>
      <c r="E5" s="2"/>
      <c r="F5" s="2"/>
      <c r="G5" s="2"/>
      <c r="H5" s="2"/>
      <c r="I5" s="2"/>
      <c r="J5" s="2"/>
      <c r="K5" s="2"/>
      <c r="M5" s="219" t="s">
        <v>13</v>
      </c>
      <c r="N5" s="220"/>
      <c r="O5" s="210">
        <f>N111</f>
        <v>16</v>
      </c>
      <c r="P5" s="211"/>
      <c r="Q5" s="212"/>
      <c r="R5" s="210">
        <f>N124</f>
        <v>14</v>
      </c>
      <c r="S5" s="211"/>
      <c r="T5" s="212"/>
      <c r="U5" s="204" t="str">
        <f>IF(O5&gt;=14,"Corect","Trebuie alocate cel puțin 14 de ore pe săptămână")</f>
        <v>Corect</v>
      </c>
      <c r="V5" s="205"/>
      <c r="W5" s="205"/>
      <c r="X5" s="205"/>
      <c r="Y5" s="41"/>
      <c r="Z5" s="41"/>
    </row>
    <row r="6" spans="1:26" s="4" customFormat="1" ht="15" x14ac:dyDescent="0.25">
      <c r="A6" s="82" t="s">
        <v>225</v>
      </c>
      <c r="B6" s="82"/>
      <c r="C6" s="82"/>
      <c r="D6" s="82"/>
      <c r="E6" s="82"/>
      <c r="F6" s="82"/>
      <c r="G6" s="82"/>
      <c r="H6" s="82"/>
      <c r="I6" s="82"/>
      <c r="J6" s="82"/>
      <c r="K6" s="82"/>
      <c r="U6" s="204" t="str">
        <f>IF(R5&gt;=14,"Corect","Trebuie alocate cel puțin 14 de ore pe săptămână")</f>
        <v>Corect</v>
      </c>
      <c r="V6" s="205"/>
      <c r="W6" s="205"/>
      <c r="X6" s="205"/>
      <c r="Y6" s="41"/>
      <c r="Z6" s="41"/>
    </row>
    <row r="7" spans="1:26" s="4" customFormat="1" ht="15" x14ac:dyDescent="0.25">
      <c r="A7" s="82" t="s">
        <v>219</v>
      </c>
      <c r="B7" s="82"/>
      <c r="C7" s="82"/>
      <c r="D7" s="82"/>
      <c r="E7" s="82"/>
      <c r="F7" s="82"/>
      <c r="G7" s="82"/>
      <c r="H7" s="82"/>
      <c r="I7" s="82"/>
      <c r="J7" s="82"/>
      <c r="K7" s="82"/>
      <c r="M7" s="33"/>
      <c r="Y7" s="41"/>
      <c r="Z7" s="41"/>
    </row>
    <row r="8" spans="1:26" s="4" customFormat="1" ht="15" x14ac:dyDescent="0.25">
      <c r="A8" s="82"/>
      <c r="B8" s="82"/>
      <c r="C8" s="82"/>
      <c r="D8" s="82"/>
      <c r="E8" s="82"/>
      <c r="F8" s="82"/>
      <c r="G8" s="82"/>
      <c r="H8" s="82"/>
      <c r="I8" s="82"/>
      <c r="J8" s="82"/>
      <c r="K8" s="82"/>
      <c r="M8" s="96" t="s">
        <v>133</v>
      </c>
      <c r="N8" s="96"/>
      <c r="O8" s="96"/>
      <c r="P8" s="96"/>
      <c r="Q8" s="96"/>
      <c r="R8" s="96"/>
      <c r="S8" s="96"/>
      <c r="T8" s="96"/>
      <c r="U8" s="2"/>
      <c r="Y8" s="41"/>
      <c r="Z8" s="41"/>
    </row>
    <row r="9" spans="1:26" s="4" customFormat="1" ht="15" x14ac:dyDescent="0.25">
      <c r="A9" s="99" t="s">
        <v>227</v>
      </c>
      <c r="B9" s="99"/>
      <c r="C9" s="99"/>
      <c r="D9" s="99"/>
      <c r="E9" s="99"/>
      <c r="F9" s="99"/>
      <c r="G9" s="99"/>
      <c r="H9" s="99"/>
      <c r="I9" s="99"/>
      <c r="J9" s="99"/>
      <c r="K9" s="99"/>
      <c r="M9" s="96"/>
      <c r="N9" s="96"/>
      <c r="O9" s="96"/>
      <c r="P9" s="96"/>
      <c r="Q9" s="96"/>
      <c r="R9" s="96"/>
      <c r="S9" s="96"/>
      <c r="T9" s="96"/>
      <c r="U9" s="2"/>
      <c r="V9" s="41"/>
      <c r="W9" s="41"/>
      <c r="X9" s="41"/>
      <c r="Y9" s="41"/>
      <c r="Z9" s="41"/>
    </row>
    <row r="10" spans="1:26" s="4" customFormat="1" ht="15" x14ac:dyDescent="0.25">
      <c r="A10" s="99" t="s">
        <v>220</v>
      </c>
      <c r="B10" s="99"/>
      <c r="C10" s="99"/>
      <c r="D10" s="99"/>
      <c r="E10" s="99"/>
      <c r="F10" s="99"/>
      <c r="G10" s="99"/>
      <c r="H10" s="99"/>
      <c r="I10" s="99"/>
      <c r="J10" s="99"/>
      <c r="K10" s="99"/>
      <c r="M10" s="96"/>
      <c r="N10" s="96"/>
      <c r="O10" s="96"/>
      <c r="P10" s="96"/>
      <c r="Q10" s="96"/>
      <c r="R10" s="96"/>
      <c r="S10" s="96"/>
      <c r="T10" s="96"/>
      <c r="Y10" s="41"/>
      <c r="Z10" s="41"/>
    </row>
    <row r="11" spans="1:26" s="4" customFormat="1" ht="15" x14ac:dyDescent="0.25">
      <c r="A11" s="99" t="s">
        <v>221</v>
      </c>
      <c r="B11" s="99"/>
      <c r="C11" s="99"/>
      <c r="D11" s="99"/>
      <c r="E11" s="99"/>
      <c r="F11" s="99"/>
      <c r="G11" s="99"/>
      <c r="H11" s="99"/>
      <c r="I11" s="99"/>
      <c r="J11" s="99"/>
      <c r="K11" s="99"/>
      <c r="M11" s="37"/>
      <c r="N11" s="37"/>
      <c r="O11" s="37"/>
      <c r="P11" s="37"/>
      <c r="Q11" s="37"/>
      <c r="R11" s="37"/>
      <c r="S11" s="37"/>
      <c r="T11" s="37"/>
      <c r="U11" s="206" t="s">
        <v>69</v>
      </c>
      <c r="V11" s="206"/>
      <c r="W11" s="206"/>
      <c r="X11" s="206"/>
      <c r="Y11" s="41"/>
      <c r="Z11" s="41"/>
    </row>
    <row r="12" spans="1:26" s="4" customFormat="1" ht="15" x14ac:dyDescent="0.25">
      <c r="A12" s="99" t="s">
        <v>222</v>
      </c>
      <c r="B12" s="99"/>
      <c r="C12" s="99"/>
      <c r="D12" s="99"/>
      <c r="E12" s="99"/>
      <c r="F12" s="99"/>
      <c r="G12" s="99"/>
      <c r="H12" s="99"/>
      <c r="I12" s="99"/>
      <c r="J12" s="99"/>
      <c r="K12" s="99"/>
      <c r="U12" s="206"/>
      <c r="V12" s="206"/>
      <c r="W12" s="206"/>
      <c r="X12" s="206"/>
      <c r="Y12" s="41"/>
      <c r="Z12" s="41"/>
    </row>
    <row r="13" spans="1:26" s="4" customFormat="1" ht="15" x14ac:dyDescent="0.25">
      <c r="A13" s="99" t="s">
        <v>223</v>
      </c>
      <c r="B13" s="99"/>
      <c r="C13" s="99"/>
      <c r="D13" s="99"/>
      <c r="E13" s="99"/>
      <c r="F13" s="99"/>
      <c r="G13" s="99"/>
      <c r="H13" s="99"/>
      <c r="I13" s="99"/>
      <c r="J13" s="99"/>
      <c r="K13" s="99"/>
      <c r="U13" s="206"/>
      <c r="V13" s="206"/>
      <c r="W13" s="206"/>
      <c r="X13" s="206"/>
      <c r="Y13" s="41"/>
      <c r="Z13" s="41"/>
    </row>
    <row r="14" spans="1:26" s="4" customFormat="1" ht="15" x14ac:dyDescent="0.25">
      <c r="A14" s="99"/>
      <c r="B14" s="99"/>
      <c r="C14" s="99"/>
      <c r="D14" s="99"/>
      <c r="E14" s="99"/>
      <c r="F14" s="99"/>
      <c r="G14" s="99"/>
      <c r="H14" s="99"/>
      <c r="I14" s="99"/>
      <c r="J14" s="99"/>
      <c r="K14" s="99"/>
      <c r="M14" s="95" t="s">
        <v>17</v>
      </c>
      <c r="N14" s="95"/>
      <c r="O14" s="95"/>
      <c r="P14" s="95"/>
      <c r="Q14" s="95"/>
      <c r="R14" s="95"/>
      <c r="S14" s="95"/>
      <c r="T14" s="95"/>
      <c r="U14" s="206"/>
      <c r="V14" s="206"/>
      <c r="W14" s="206"/>
      <c r="X14" s="206"/>
      <c r="Y14" s="41"/>
      <c r="Z14" s="41"/>
    </row>
    <row r="15" spans="1:26" s="4" customFormat="1" ht="15" x14ac:dyDescent="0.25">
      <c r="A15" s="120" t="s">
        <v>96</v>
      </c>
      <c r="B15" s="120"/>
      <c r="C15" s="120"/>
      <c r="D15" s="120"/>
      <c r="E15" s="120"/>
      <c r="F15" s="120"/>
      <c r="G15" s="120"/>
      <c r="H15" s="120"/>
      <c r="I15" s="120"/>
      <c r="J15" s="120"/>
      <c r="K15" s="120"/>
      <c r="M15" s="100" t="s">
        <v>239</v>
      </c>
      <c r="N15" s="100"/>
      <c r="O15" s="100"/>
      <c r="P15" s="100"/>
      <c r="Q15" s="100"/>
      <c r="R15" s="100"/>
      <c r="S15" s="100"/>
      <c r="T15" s="100"/>
      <c r="U15" s="206"/>
      <c r="V15" s="206"/>
      <c r="W15" s="206"/>
      <c r="X15" s="206"/>
      <c r="Y15" s="41"/>
      <c r="Z15" s="41"/>
    </row>
    <row r="16" spans="1:26" s="4" customFormat="1" ht="15" x14ac:dyDescent="0.25">
      <c r="A16" s="120" t="s">
        <v>97</v>
      </c>
      <c r="B16" s="120"/>
      <c r="C16" s="120"/>
      <c r="D16" s="120"/>
      <c r="E16" s="120"/>
      <c r="F16" s="120"/>
      <c r="G16" s="120"/>
      <c r="H16" s="120"/>
      <c r="I16" s="120"/>
      <c r="J16" s="120"/>
      <c r="K16" s="120"/>
      <c r="M16" s="100" t="s">
        <v>238</v>
      </c>
      <c r="N16" s="100"/>
      <c r="O16" s="100"/>
      <c r="P16" s="100"/>
      <c r="Q16" s="100"/>
      <c r="R16" s="100"/>
      <c r="S16" s="100"/>
      <c r="T16" s="100"/>
      <c r="U16" s="206"/>
      <c r="V16" s="206"/>
      <c r="W16" s="206"/>
      <c r="X16" s="206"/>
      <c r="Y16" s="41"/>
      <c r="Z16" s="41"/>
    </row>
    <row r="17" spans="1:25" s="4" customFormat="1" x14ac:dyDescent="0.25">
      <c r="A17" s="99" t="s">
        <v>224</v>
      </c>
      <c r="B17" s="99"/>
      <c r="C17" s="99"/>
      <c r="D17" s="99"/>
      <c r="E17" s="99"/>
      <c r="F17" s="99"/>
      <c r="G17" s="99"/>
      <c r="H17" s="99"/>
      <c r="I17" s="99"/>
      <c r="J17" s="99"/>
      <c r="K17" s="99"/>
      <c r="M17" s="100" t="s">
        <v>237</v>
      </c>
      <c r="N17" s="100"/>
      <c r="O17" s="100"/>
      <c r="P17" s="100"/>
      <c r="Q17" s="100"/>
      <c r="R17" s="100"/>
      <c r="S17" s="100"/>
      <c r="T17" s="100"/>
      <c r="U17" s="206"/>
      <c r="V17" s="206"/>
      <c r="W17" s="206"/>
      <c r="X17" s="206"/>
    </row>
    <row r="18" spans="1:25" s="4" customFormat="1" x14ac:dyDescent="0.25">
      <c r="A18" s="99" t="s">
        <v>228</v>
      </c>
      <c r="B18" s="99"/>
      <c r="C18" s="99"/>
      <c r="D18" s="99"/>
      <c r="E18" s="99"/>
      <c r="F18" s="99"/>
      <c r="G18" s="99"/>
      <c r="H18" s="99"/>
      <c r="I18" s="99"/>
      <c r="J18" s="99"/>
      <c r="K18" s="99"/>
      <c r="M18" s="100" t="s">
        <v>236</v>
      </c>
      <c r="N18" s="100"/>
      <c r="O18" s="100"/>
      <c r="P18" s="100"/>
      <c r="Q18" s="100"/>
      <c r="R18" s="100"/>
      <c r="S18" s="100"/>
      <c r="T18" s="100"/>
    </row>
    <row r="19" spans="1:25" s="4" customFormat="1" x14ac:dyDescent="0.25">
      <c r="A19" s="240" t="s">
        <v>57</v>
      </c>
      <c r="B19" s="240"/>
      <c r="C19" s="240"/>
      <c r="D19" s="240"/>
      <c r="E19" s="240"/>
      <c r="F19" s="240"/>
      <c r="G19" s="240"/>
      <c r="H19" s="240"/>
      <c r="I19" s="240"/>
      <c r="J19" s="240"/>
      <c r="K19" s="240"/>
      <c r="U19" s="65" t="s">
        <v>240</v>
      </c>
      <c r="V19" s="65"/>
    </row>
    <row r="20" spans="1:25" s="4" customFormat="1" x14ac:dyDescent="0.25">
      <c r="A20" s="213" t="s">
        <v>98</v>
      </c>
      <c r="B20" s="213"/>
      <c r="C20" s="213"/>
      <c r="D20" s="213"/>
      <c r="E20" s="213"/>
      <c r="F20" s="213"/>
      <c r="G20" s="213"/>
      <c r="H20" s="213"/>
      <c r="I20" s="213"/>
      <c r="J20" s="213"/>
      <c r="K20" s="213"/>
    </row>
    <row r="21" spans="1:25" s="4" customFormat="1" x14ac:dyDescent="0.25"/>
    <row r="22" spans="1:25" s="4" customFormat="1" x14ac:dyDescent="0.25">
      <c r="A22" s="101" t="s">
        <v>99</v>
      </c>
      <c r="B22" s="101"/>
      <c r="C22" s="101"/>
      <c r="D22" s="101"/>
      <c r="E22" s="101"/>
      <c r="F22" s="101"/>
      <c r="G22" s="101"/>
      <c r="H22" s="101"/>
      <c r="I22" s="101"/>
      <c r="J22" s="101"/>
      <c r="K22" s="101"/>
      <c r="L22" s="36"/>
      <c r="M22" s="101" t="s">
        <v>70</v>
      </c>
      <c r="N22" s="101"/>
      <c r="O22" s="101"/>
      <c r="P22" s="101"/>
      <c r="Q22" s="101"/>
      <c r="R22" s="101"/>
      <c r="S22" s="101"/>
      <c r="T22" s="101"/>
    </row>
    <row r="23" spans="1:25" s="4" customFormat="1" x14ac:dyDescent="0.25">
      <c r="A23" s="101"/>
      <c r="B23" s="101"/>
      <c r="C23" s="101"/>
      <c r="D23" s="101"/>
      <c r="E23" s="101"/>
      <c r="F23" s="101"/>
      <c r="G23" s="101"/>
      <c r="H23" s="101"/>
      <c r="I23" s="101"/>
      <c r="J23" s="101"/>
      <c r="K23" s="101"/>
      <c r="L23" s="36"/>
      <c r="M23" s="101"/>
      <c r="N23" s="101"/>
      <c r="O23" s="101"/>
      <c r="P23" s="101"/>
      <c r="Q23" s="101"/>
      <c r="R23" s="101"/>
      <c r="S23" s="101"/>
      <c r="T23" s="101"/>
    </row>
    <row r="24" spans="1:25" s="4" customFormat="1" x14ac:dyDescent="0.25">
      <c r="A24" s="101"/>
      <c r="B24" s="101"/>
      <c r="C24" s="101"/>
      <c r="D24" s="101"/>
      <c r="E24" s="101"/>
      <c r="F24" s="101"/>
      <c r="G24" s="101"/>
      <c r="H24" s="101"/>
      <c r="I24" s="101"/>
      <c r="J24" s="101"/>
      <c r="K24" s="101"/>
      <c r="L24" s="36"/>
      <c r="M24" s="101"/>
      <c r="N24" s="101"/>
      <c r="O24" s="101"/>
      <c r="P24" s="101"/>
      <c r="Q24" s="101"/>
      <c r="R24" s="101"/>
      <c r="S24" s="101"/>
      <c r="T24" s="101"/>
    </row>
    <row r="25" spans="1:25" s="4" customFormat="1" x14ac:dyDescent="0.25">
      <c r="A25" s="101"/>
      <c r="B25" s="101"/>
      <c r="C25" s="101"/>
      <c r="D25" s="101"/>
      <c r="E25" s="101"/>
      <c r="F25" s="101"/>
      <c r="G25" s="101"/>
      <c r="H25" s="101"/>
      <c r="I25" s="101"/>
      <c r="J25" s="101"/>
      <c r="K25" s="101"/>
      <c r="L25" s="36"/>
      <c r="M25" s="101"/>
      <c r="N25" s="101"/>
      <c r="O25" s="101"/>
      <c r="P25" s="101"/>
      <c r="Q25" s="101"/>
      <c r="R25" s="101"/>
      <c r="S25" s="101"/>
      <c r="T25" s="101"/>
    </row>
    <row r="26" spans="1:25" s="4" customFormat="1" x14ac:dyDescent="0.25">
      <c r="A26" s="101"/>
      <c r="B26" s="101"/>
      <c r="C26" s="101"/>
      <c r="D26" s="101"/>
      <c r="E26" s="101"/>
      <c r="F26" s="101"/>
      <c r="G26" s="101"/>
      <c r="H26" s="101"/>
      <c r="I26" s="101"/>
      <c r="J26" s="101"/>
      <c r="K26" s="101"/>
      <c r="L26" s="36"/>
      <c r="M26" s="101"/>
      <c r="N26" s="101"/>
      <c r="O26" s="101"/>
      <c r="P26" s="101"/>
      <c r="Q26" s="101"/>
      <c r="R26" s="101"/>
      <c r="S26" s="101"/>
      <c r="T26" s="101"/>
    </row>
    <row r="27" spans="1:25" s="4" customFormat="1" x14ac:dyDescent="0.25">
      <c r="A27" s="2"/>
      <c r="B27" s="2"/>
      <c r="C27" s="2"/>
      <c r="D27" s="2"/>
      <c r="E27" s="2"/>
      <c r="F27" s="2"/>
      <c r="G27" s="2"/>
      <c r="H27" s="2"/>
      <c r="I27" s="2"/>
      <c r="J27" s="2"/>
      <c r="K27" s="2"/>
      <c r="M27" s="22"/>
      <c r="N27" s="22"/>
      <c r="O27" s="22"/>
      <c r="P27" s="22"/>
      <c r="Q27" s="22"/>
      <c r="R27" s="22"/>
    </row>
    <row r="28" spans="1:25" s="4" customFormat="1" x14ac:dyDescent="0.25">
      <c r="A28" s="123" t="s">
        <v>14</v>
      </c>
      <c r="B28" s="123"/>
      <c r="C28" s="123"/>
      <c r="D28" s="123"/>
      <c r="E28" s="123"/>
      <c r="F28" s="123"/>
      <c r="G28" s="123"/>
      <c r="H28" s="123"/>
      <c r="I28" s="123"/>
      <c r="J28" s="123"/>
      <c r="K28" s="123"/>
      <c r="M28" s="2"/>
      <c r="N28" s="2"/>
      <c r="O28" s="2"/>
      <c r="P28" s="2"/>
      <c r="Q28" s="2"/>
      <c r="R28" s="2"/>
      <c r="S28" s="2"/>
      <c r="T28" s="2"/>
    </row>
    <row r="29" spans="1:25" s="4" customFormat="1" x14ac:dyDescent="0.25">
      <c r="A29" s="133"/>
      <c r="B29" s="105" t="s">
        <v>0</v>
      </c>
      <c r="C29" s="107"/>
      <c r="D29" s="105" t="s">
        <v>1</v>
      </c>
      <c r="E29" s="106"/>
      <c r="F29" s="107"/>
      <c r="G29" s="102" t="s">
        <v>15</v>
      </c>
      <c r="H29" s="102" t="s">
        <v>8</v>
      </c>
      <c r="I29" s="105" t="s">
        <v>2</v>
      </c>
      <c r="J29" s="106"/>
      <c r="K29" s="107"/>
      <c r="M29" s="137" t="s">
        <v>218</v>
      </c>
      <c r="N29" s="137"/>
      <c r="O29" s="137"/>
      <c r="P29" s="137"/>
      <c r="Q29" s="137"/>
      <c r="R29" s="137"/>
      <c r="S29" s="137"/>
      <c r="T29" s="137"/>
    </row>
    <row r="30" spans="1:25" s="4" customFormat="1" ht="12.75" customHeight="1" x14ac:dyDescent="0.25">
      <c r="A30" s="134"/>
      <c r="B30" s="108"/>
      <c r="C30" s="110"/>
      <c r="D30" s="108"/>
      <c r="E30" s="109"/>
      <c r="F30" s="110"/>
      <c r="G30" s="103"/>
      <c r="H30" s="103"/>
      <c r="I30" s="108"/>
      <c r="J30" s="109"/>
      <c r="K30" s="110"/>
      <c r="M30" s="137"/>
      <c r="N30" s="137"/>
      <c r="O30" s="137"/>
      <c r="P30" s="137"/>
      <c r="Q30" s="137"/>
      <c r="R30" s="137"/>
      <c r="S30" s="137"/>
      <c r="T30" s="137"/>
      <c r="U30" s="81" t="s">
        <v>226</v>
      </c>
      <c r="V30" s="81"/>
      <c r="W30" s="81"/>
      <c r="X30" s="81"/>
      <c r="Y30" s="81"/>
    </row>
    <row r="31" spans="1:25" s="4" customFormat="1" x14ac:dyDescent="0.25">
      <c r="A31" s="135"/>
      <c r="B31" s="3" t="s">
        <v>3</v>
      </c>
      <c r="C31" s="3" t="s">
        <v>4</v>
      </c>
      <c r="D31" s="3" t="s">
        <v>5</v>
      </c>
      <c r="E31" s="3" t="s">
        <v>6</v>
      </c>
      <c r="F31" s="3" t="s">
        <v>7</v>
      </c>
      <c r="G31" s="104"/>
      <c r="H31" s="104"/>
      <c r="I31" s="3" t="s">
        <v>9</v>
      </c>
      <c r="J31" s="3" t="s">
        <v>10</v>
      </c>
      <c r="K31" s="3" t="s">
        <v>11</v>
      </c>
      <c r="M31" s="137"/>
      <c r="N31" s="137"/>
      <c r="O31" s="137"/>
      <c r="P31" s="137"/>
      <c r="Q31" s="137"/>
      <c r="R31" s="137"/>
      <c r="S31" s="137"/>
      <c r="T31" s="137"/>
      <c r="U31" s="81"/>
      <c r="V31" s="81"/>
      <c r="W31" s="81"/>
      <c r="X31" s="81"/>
      <c r="Y31" s="81"/>
    </row>
    <row r="32" spans="1:25" s="4" customFormat="1" x14ac:dyDescent="0.25">
      <c r="A32" s="18" t="s">
        <v>12</v>
      </c>
      <c r="B32" s="53">
        <v>14</v>
      </c>
      <c r="C32" s="53">
        <v>14</v>
      </c>
      <c r="D32" s="12">
        <v>3</v>
      </c>
      <c r="E32" s="12">
        <v>3</v>
      </c>
      <c r="F32" s="12">
        <v>2</v>
      </c>
      <c r="G32" s="12"/>
      <c r="H32" s="12">
        <v>0</v>
      </c>
      <c r="I32" s="12">
        <v>2</v>
      </c>
      <c r="J32" s="12">
        <v>1</v>
      </c>
      <c r="K32" s="12">
        <v>13</v>
      </c>
      <c r="L32" s="42"/>
      <c r="M32" s="137"/>
      <c r="N32" s="137"/>
      <c r="O32" s="137"/>
      <c r="P32" s="137"/>
      <c r="Q32" s="137"/>
      <c r="R32" s="137"/>
      <c r="S32" s="137"/>
      <c r="T32" s="137"/>
      <c r="U32" s="136" t="str">
        <f t="shared" ref="U32" si="0">IF(SUM(B32:K32)=52,"Corect","Suma trebuie să fie 52")</f>
        <v>Corect</v>
      </c>
      <c r="V32" s="136"/>
    </row>
    <row r="33" spans="1:26" s="4" customFormat="1" x14ac:dyDescent="0.25">
      <c r="A33" s="18" t="s">
        <v>13</v>
      </c>
      <c r="B33" s="53">
        <v>14</v>
      </c>
      <c r="C33" s="53">
        <v>12</v>
      </c>
      <c r="D33" s="12">
        <v>3</v>
      </c>
      <c r="E33" s="12">
        <v>5</v>
      </c>
      <c r="F33" s="12">
        <v>2</v>
      </c>
      <c r="G33" s="12"/>
      <c r="H33" s="12">
        <v>0</v>
      </c>
      <c r="I33" s="12">
        <v>2</v>
      </c>
      <c r="J33" s="12">
        <v>1</v>
      </c>
      <c r="K33" s="12">
        <v>13</v>
      </c>
      <c r="M33" s="137"/>
      <c r="N33" s="137"/>
      <c r="O33" s="137"/>
      <c r="P33" s="137"/>
      <c r="Q33" s="137"/>
      <c r="R33" s="137"/>
      <c r="S33" s="137"/>
      <c r="T33" s="137"/>
      <c r="U33" s="136" t="str">
        <f t="shared" ref="U33" si="1">IF(SUM(B33:K33)=52,"Corect","Suma trebuie să fie 52")</f>
        <v>Corect</v>
      </c>
      <c r="V33" s="136"/>
    </row>
    <row r="34" spans="1:26" x14ac:dyDescent="0.2">
      <c r="A34" s="97" t="s">
        <v>87</v>
      </c>
      <c r="B34" s="97"/>
      <c r="C34" s="97"/>
      <c r="D34" s="97"/>
      <c r="E34" s="97"/>
      <c r="F34" s="97"/>
      <c r="G34" s="97"/>
      <c r="H34" s="97"/>
      <c r="I34" s="97"/>
      <c r="J34" s="97"/>
      <c r="K34" s="97"/>
      <c r="L34" s="97"/>
      <c r="M34" s="97"/>
      <c r="N34" s="97"/>
      <c r="O34" s="97"/>
      <c r="P34" s="97"/>
      <c r="Q34" s="97"/>
      <c r="R34" s="97"/>
      <c r="S34" s="97"/>
      <c r="T34" s="97"/>
    </row>
    <row r="35" spans="1:26" x14ac:dyDescent="0.2">
      <c r="A35" s="97"/>
      <c r="B35" s="97"/>
      <c r="C35" s="97"/>
      <c r="D35" s="97"/>
      <c r="E35" s="97"/>
      <c r="F35" s="97"/>
      <c r="G35" s="97"/>
      <c r="H35" s="97"/>
      <c r="I35" s="97"/>
      <c r="J35" s="97"/>
      <c r="K35" s="97"/>
      <c r="L35" s="97"/>
      <c r="M35" s="97"/>
      <c r="N35" s="97"/>
      <c r="O35" s="97"/>
      <c r="P35" s="97"/>
      <c r="Q35" s="97"/>
      <c r="R35" s="97"/>
      <c r="S35" s="97"/>
      <c r="T35" s="97"/>
      <c r="U35" s="83" t="s">
        <v>141</v>
      </c>
      <c r="V35" s="83"/>
      <c r="W35" s="83"/>
      <c r="X35" s="83"/>
      <c r="Y35" s="83"/>
    </row>
    <row r="36" spans="1:26" x14ac:dyDescent="0.2">
      <c r="A36" s="98" t="s">
        <v>229</v>
      </c>
      <c r="B36" s="98"/>
      <c r="C36" s="98"/>
      <c r="D36" s="98"/>
      <c r="E36" s="98"/>
      <c r="F36" s="98"/>
      <c r="G36" s="98"/>
      <c r="H36" s="98"/>
      <c r="I36" s="98"/>
      <c r="J36" s="98"/>
      <c r="K36" s="98" t="s">
        <v>230</v>
      </c>
      <c r="L36" s="98"/>
      <c r="M36" s="98"/>
      <c r="N36" s="98"/>
      <c r="O36" s="98"/>
      <c r="P36" s="98"/>
      <c r="Q36" s="98"/>
      <c r="R36" s="98"/>
      <c r="S36" s="98"/>
      <c r="T36" s="98"/>
      <c r="U36" s="83"/>
      <c r="V36" s="83"/>
      <c r="W36" s="83"/>
      <c r="X36" s="83"/>
      <c r="Y36" s="83"/>
    </row>
    <row r="37" spans="1:26" x14ac:dyDescent="0.2">
      <c r="A37" s="98"/>
      <c r="B37" s="98"/>
      <c r="C37" s="98"/>
      <c r="D37" s="98"/>
      <c r="E37" s="98"/>
      <c r="F37" s="98"/>
      <c r="G37" s="98"/>
      <c r="H37" s="98"/>
      <c r="I37" s="98"/>
      <c r="J37" s="98"/>
      <c r="K37" s="98"/>
      <c r="L37" s="98"/>
      <c r="M37" s="98"/>
      <c r="N37" s="98"/>
      <c r="O37" s="98"/>
      <c r="P37" s="98"/>
      <c r="Q37" s="98"/>
      <c r="R37" s="98"/>
      <c r="S37" s="98"/>
      <c r="T37" s="98"/>
      <c r="U37" s="83"/>
      <c r="V37" s="83"/>
      <c r="W37" s="83"/>
      <c r="X37" s="83"/>
      <c r="Y37" s="83"/>
    </row>
    <row r="38" spans="1:26" x14ac:dyDescent="0.2">
      <c r="A38" s="98"/>
      <c r="B38" s="98"/>
      <c r="C38" s="98"/>
      <c r="D38" s="98"/>
      <c r="E38" s="98"/>
      <c r="F38" s="98"/>
      <c r="G38" s="98"/>
      <c r="H38" s="98"/>
      <c r="I38" s="98"/>
      <c r="J38" s="98"/>
      <c r="K38" s="98"/>
      <c r="L38" s="98"/>
      <c r="M38" s="98"/>
      <c r="N38" s="98"/>
      <c r="O38" s="98"/>
      <c r="P38" s="98"/>
      <c r="Q38" s="98"/>
      <c r="R38" s="98"/>
      <c r="S38" s="98"/>
      <c r="T38" s="98"/>
      <c r="U38" s="83"/>
      <c r="V38" s="83"/>
      <c r="W38" s="83"/>
      <c r="X38" s="83"/>
      <c r="Y38" s="83"/>
    </row>
    <row r="39" spans="1:26" x14ac:dyDescent="0.2">
      <c r="A39" s="98"/>
      <c r="B39" s="98"/>
      <c r="C39" s="98"/>
      <c r="D39" s="98"/>
      <c r="E39" s="98"/>
      <c r="F39" s="98"/>
      <c r="G39" s="98"/>
      <c r="H39" s="98"/>
      <c r="I39" s="98"/>
      <c r="J39" s="98"/>
      <c r="K39" s="98"/>
      <c r="L39" s="98"/>
      <c r="M39" s="98"/>
      <c r="N39" s="98"/>
      <c r="O39" s="98"/>
      <c r="P39" s="98"/>
      <c r="Q39" s="98"/>
      <c r="R39" s="98"/>
      <c r="S39" s="98"/>
      <c r="T39" s="98"/>
      <c r="U39" s="83"/>
      <c r="V39" s="83"/>
      <c r="W39" s="83"/>
      <c r="X39" s="83"/>
      <c r="Y39" s="83"/>
    </row>
    <row r="40" spans="1:26" x14ac:dyDescent="0.2">
      <c r="A40" s="98"/>
      <c r="B40" s="98"/>
      <c r="C40" s="98"/>
      <c r="D40" s="98"/>
      <c r="E40" s="98"/>
      <c r="F40" s="98"/>
      <c r="G40" s="98"/>
      <c r="H40" s="98"/>
      <c r="I40" s="98"/>
      <c r="J40" s="98"/>
      <c r="K40" s="98"/>
      <c r="L40" s="98"/>
      <c r="M40" s="98"/>
      <c r="N40" s="98"/>
      <c r="O40" s="98"/>
      <c r="P40" s="98"/>
      <c r="Q40" s="98"/>
      <c r="R40" s="98"/>
      <c r="S40" s="98"/>
      <c r="T40" s="98"/>
      <c r="U40" s="83"/>
      <c r="V40" s="83"/>
      <c r="W40" s="83"/>
      <c r="X40" s="83"/>
      <c r="Y40" s="83"/>
    </row>
    <row r="41" spans="1:26" x14ac:dyDescent="0.2">
      <c r="A41" s="98"/>
      <c r="B41" s="98"/>
      <c r="C41" s="98"/>
      <c r="D41" s="98"/>
      <c r="E41" s="98"/>
      <c r="F41" s="98"/>
      <c r="G41" s="98"/>
      <c r="H41" s="98"/>
      <c r="I41" s="98"/>
      <c r="J41" s="98"/>
      <c r="K41" s="98"/>
      <c r="L41" s="98"/>
      <c r="M41" s="98"/>
      <c r="N41" s="98"/>
      <c r="O41" s="98"/>
      <c r="P41" s="98"/>
      <c r="Q41" s="98"/>
      <c r="R41" s="98"/>
      <c r="S41" s="98"/>
      <c r="T41" s="98"/>
      <c r="U41" s="83"/>
      <c r="V41" s="83"/>
      <c r="W41" s="83"/>
      <c r="X41" s="83"/>
      <c r="Y41" s="83"/>
    </row>
    <row r="42" spans="1:26" x14ac:dyDescent="0.2">
      <c r="A42" s="98"/>
      <c r="B42" s="98"/>
      <c r="C42" s="98"/>
      <c r="D42" s="98"/>
      <c r="E42" s="98"/>
      <c r="F42" s="98"/>
      <c r="G42" s="98"/>
      <c r="H42" s="98"/>
      <c r="I42" s="98"/>
      <c r="J42" s="98"/>
      <c r="K42" s="98"/>
      <c r="L42" s="98"/>
      <c r="M42" s="98"/>
      <c r="N42" s="98"/>
      <c r="O42" s="98"/>
      <c r="P42" s="98"/>
      <c r="Q42" s="98"/>
      <c r="R42" s="98"/>
      <c r="S42" s="98"/>
      <c r="T42" s="98"/>
      <c r="U42" s="83"/>
      <c r="V42" s="83"/>
      <c r="W42" s="83"/>
      <c r="X42" s="83"/>
      <c r="Y42" s="83"/>
    </row>
    <row r="43" spans="1:26" x14ac:dyDescent="0.2">
      <c r="A43" s="98"/>
      <c r="B43" s="98"/>
      <c r="C43" s="98"/>
      <c r="D43" s="98"/>
      <c r="E43" s="98"/>
      <c r="F43" s="98"/>
      <c r="G43" s="98"/>
      <c r="H43" s="98"/>
      <c r="I43" s="98"/>
      <c r="J43" s="98"/>
      <c r="K43" s="98"/>
      <c r="L43" s="98"/>
      <c r="M43" s="98"/>
      <c r="N43" s="98"/>
      <c r="O43" s="98"/>
      <c r="P43" s="98"/>
      <c r="Q43" s="98"/>
      <c r="R43" s="98"/>
      <c r="S43" s="98"/>
      <c r="T43" s="98"/>
      <c r="U43" s="84" t="s">
        <v>142</v>
      </c>
      <c r="V43" s="84"/>
      <c r="W43" s="84"/>
      <c r="X43" s="84"/>
      <c r="Y43" s="84"/>
      <c r="Z43" s="84"/>
    </row>
    <row r="44" spans="1:26" x14ac:dyDescent="0.2">
      <c r="A44" s="98"/>
      <c r="B44" s="98"/>
      <c r="C44" s="98"/>
      <c r="D44" s="98"/>
      <c r="E44" s="98"/>
      <c r="F44" s="98"/>
      <c r="G44" s="98"/>
      <c r="H44" s="98"/>
      <c r="I44" s="98"/>
      <c r="J44" s="98"/>
      <c r="K44" s="98"/>
      <c r="L44" s="98"/>
      <c r="M44" s="98"/>
      <c r="N44" s="98"/>
      <c r="O44" s="98"/>
      <c r="P44" s="98"/>
      <c r="Q44" s="98"/>
      <c r="R44" s="98"/>
      <c r="S44" s="98"/>
      <c r="T44" s="98"/>
      <c r="V44" s="4"/>
      <c r="W44" s="4"/>
      <c r="X44" s="4"/>
      <c r="Y44" s="4"/>
      <c r="Z44" s="4"/>
    </row>
    <row r="45" spans="1:26" x14ac:dyDescent="0.2">
      <c r="A45" s="98"/>
      <c r="B45" s="98"/>
      <c r="C45" s="98"/>
      <c r="D45" s="98"/>
      <c r="E45" s="98"/>
      <c r="F45" s="98"/>
      <c r="G45" s="98"/>
      <c r="H45" s="98"/>
      <c r="I45" s="98"/>
      <c r="J45" s="98"/>
      <c r="K45" s="98"/>
      <c r="L45" s="98"/>
      <c r="M45" s="98"/>
      <c r="N45" s="98"/>
      <c r="O45" s="98"/>
      <c r="P45" s="98"/>
      <c r="Q45" s="98"/>
      <c r="R45" s="98"/>
      <c r="S45" s="98"/>
      <c r="T45" s="98"/>
    </row>
    <row r="46" spans="1:26" x14ac:dyDescent="0.2">
      <c r="A46" s="98" t="s">
        <v>231</v>
      </c>
      <c r="B46" s="98"/>
      <c r="C46" s="98"/>
      <c r="D46" s="98"/>
      <c r="E46" s="98"/>
      <c r="F46" s="98"/>
      <c r="G46" s="98"/>
      <c r="H46" s="98"/>
      <c r="I46" s="98"/>
      <c r="J46" s="98"/>
      <c r="K46" s="98" t="s">
        <v>232</v>
      </c>
      <c r="L46" s="98"/>
      <c r="M46" s="98"/>
      <c r="N46" s="98"/>
      <c r="O46" s="98"/>
      <c r="P46" s="98"/>
      <c r="Q46" s="98"/>
      <c r="R46" s="98"/>
      <c r="S46" s="98"/>
      <c r="T46" s="98"/>
    </row>
    <row r="47" spans="1:26" x14ac:dyDescent="0.2">
      <c r="A47" s="98"/>
      <c r="B47" s="98"/>
      <c r="C47" s="98"/>
      <c r="D47" s="98"/>
      <c r="E47" s="98"/>
      <c r="F47" s="98"/>
      <c r="G47" s="98"/>
      <c r="H47" s="98"/>
      <c r="I47" s="98"/>
      <c r="J47" s="98"/>
      <c r="K47" s="98"/>
      <c r="L47" s="98"/>
      <c r="M47" s="98"/>
      <c r="N47" s="98"/>
      <c r="O47" s="98"/>
      <c r="P47" s="98"/>
      <c r="Q47" s="98"/>
      <c r="R47" s="98"/>
      <c r="S47" s="98"/>
      <c r="T47" s="98"/>
    </row>
    <row r="48" spans="1:26" x14ac:dyDescent="0.2">
      <c r="A48" s="98"/>
      <c r="B48" s="98"/>
      <c r="C48" s="98"/>
      <c r="D48" s="98"/>
      <c r="E48" s="98"/>
      <c r="F48" s="98"/>
      <c r="G48" s="98"/>
      <c r="H48" s="98"/>
      <c r="I48" s="98"/>
      <c r="J48" s="98"/>
      <c r="K48" s="98"/>
      <c r="L48" s="98"/>
      <c r="M48" s="98"/>
      <c r="N48" s="98"/>
      <c r="O48" s="98"/>
      <c r="P48" s="98"/>
      <c r="Q48" s="98"/>
      <c r="R48" s="98"/>
      <c r="S48" s="98"/>
      <c r="T48" s="98"/>
    </row>
    <row r="49" spans="1:25" x14ac:dyDescent="0.2">
      <c r="A49" s="98"/>
      <c r="B49" s="98"/>
      <c r="C49" s="98"/>
      <c r="D49" s="98"/>
      <c r="E49" s="98"/>
      <c r="F49" s="98"/>
      <c r="G49" s="98"/>
      <c r="H49" s="98"/>
      <c r="I49" s="98"/>
      <c r="J49" s="98"/>
      <c r="K49" s="98"/>
      <c r="L49" s="98"/>
      <c r="M49" s="98"/>
      <c r="N49" s="98"/>
      <c r="O49" s="98"/>
      <c r="P49" s="98"/>
      <c r="Q49" s="98"/>
      <c r="R49" s="98"/>
      <c r="S49" s="98"/>
      <c r="T49" s="98"/>
    </row>
    <row r="50" spans="1:25" x14ac:dyDescent="0.2">
      <c r="A50" s="98"/>
      <c r="B50" s="98"/>
      <c r="C50" s="98"/>
      <c r="D50" s="98"/>
      <c r="E50" s="98"/>
      <c r="F50" s="98"/>
      <c r="G50" s="98"/>
      <c r="H50" s="98"/>
      <c r="I50" s="98"/>
      <c r="J50" s="98"/>
      <c r="K50" s="98"/>
      <c r="L50" s="98"/>
      <c r="M50" s="98"/>
      <c r="N50" s="98"/>
      <c r="O50" s="98"/>
      <c r="P50" s="98"/>
      <c r="Q50" s="98"/>
      <c r="R50" s="98"/>
      <c r="S50" s="98"/>
      <c r="T50" s="98"/>
    </row>
    <row r="51" spans="1:25" x14ac:dyDescent="0.2">
      <c r="A51" s="98"/>
      <c r="B51" s="98"/>
      <c r="C51" s="98"/>
      <c r="D51" s="98"/>
      <c r="E51" s="98"/>
      <c r="F51" s="98"/>
      <c r="G51" s="98"/>
      <c r="H51" s="98"/>
      <c r="I51" s="98"/>
      <c r="J51" s="98"/>
      <c r="K51" s="98"/>
      <c r="L51" s="98"/>
      <c r="M51" s="98"/>
      <c r="N51" s="98"/>
      <c r="O51" s="98"/>
      <c r="P51" s="98"/>
      <c r="Q51" s="98"/>
      <c r="R51" s="98"/>
      <c r="S51" s="98"/>
      <c r="T51" s="98"/>
    </row>
    <row r="52" spans="1:25" x14ac:dyDescent="0.2">
      <c r="A52" s="98"/>
      <c r="B52" s="98"/>
      <c r="C52" s="98"/>
      <c r="D52" s="98"/>
      <c r="E52" s="98"/>
      <c r="F52" s="98"/>
      <c r="G52" s="98"/>
      <c r="H52" s="98"/>
      <c r="I52" s="98"/>
      <c r="J52" s="98"/>
      <c r="K52" s="98"/>
      <c r="L52" s="98"/>
      <c r="M52" s="98"/>
      <c r="N52" s="98"/>
      <c r="O52" s="98"/>
      <c r="P52" s="98"/>
      <c r="Q52" s="98"/>
      <c r="R52" s="98"/>
      <c r="S52" s="98"/>
      <c r="T52" s="98"/>
    </row>
    <row r="53" spans="1:25" x14ac:dyDescent="0.2">
      <c r="A53" s="98"/>
      <c r="B53" s="98"/>
      <c r="C53" s="98"/>
      <c r="D53" s="98"/>
      <c r="E53" s="98"/>
      <c r="F53" s="98"/>
      <c r="G53" s="98"/>
      <c r="H53" s="98"/>
      <c r="I53" s="98"/>
      <c r="J53" s="98"/>
      <c r="K53" s="98"/>
      <c r="L53" s="98"/>
      <c r="M53" s="98"/>
      <c r="N53" s="98"/>
      <c r="O53" s="98"/>
      <c r="P53" s="98"/>
      <c r="Q53" s="98"/>
      <c r="R53" s="98"/>
      <c r="S53" s="98"/>
      <c r="T53" s="98"/>
    </row>
    <row r="54" spans="1:25" x14ac:dyDescent="0.2">
      <c r="A54" s="98"/>
      <c r="B54" s="98"/>
      <c r="C54" s="98"/>
      <c r="D54" s="98"/>
      <c r="E54" s="98"/>
      <c r="F54" s="98"/>
      <c r="G54" s="98"/>
      <c r="H54" s="98"/>
      <c r="I54" s="98"/>
      <c r="J54" s="98"/>
      <c r="K54" s="98"/>
      <c r="L54" s="98"/>
      <c r="M54" s="98"/>
      <c r="N54" s="98"/>
      <c r="O54" s="98"/>
      <c r="P54" s="98"/>
      <c r="Q54" s="98"/>
      <c r="R54" s="98"/>
      <c r="S54" s="98"/>
      <c r="T54" s="98"/>
    </row>
    <row r="55" spans="1:25" x14ac:dyDescent="0.2">
      <c r="A55" s="98"/>
      <c r="B55" s="98"/>
      <c r="C55" s="98"/>
      <c r="D55" s="98"/>
      <c r="E55" s="98"/>
      <c r="F55" s="98"/>
      <c r="G55" s="98"/>
      <c r="H55" s="98"/>
      <c r="I55" s="98"/>
      <c r="J55" s="98"/>
      <c r="K55" s="98"/>
      <c r="L55" s="98"/>
      <c r="M55" s="98"/>
      <c r="N55" s="98"/>
      <c r="O55" s="98"/>
      <c r="P55" s="98"/>
      <c r="Q55" s="98"/>
      <c r="R55" s="98"/>
      <c r="S55" s="98"/>
      <c r="T55" s="98"/>
    </row>
    <row r="56" spans="1:25" x14ac:dyDescent="0.2">
      <c r="A56" s="98"/>
      <c r="B56" s="98"/>
      <c r="C56" s="98"/>
      <c r="D56" s="98"/>
      <c r="E56" s="98"/>
      <c r="F56" s="98"/>
      <c r="G56" s="98"/>
      <c r="H56" s="98"/>
      <c r="I56" s="98"/>
      <c r="J56" s="98"/>
      <c r="K56" s="98"/>
      <c r="L56" s="98"/>
      <c r="M56" s="98"/>
      <c r="N56" s="98"/>
      <c r="O56" s="98"/>
      <c r="P56" s="98"/>
      <c r="Q56" s="98"/>
      <c r="R56" s="98"/>
      <c r="S56" s="98"/>
      <c r="T56" s="98"/>
    </row>
    <row r="57" spans="1:25" x14ac:dyDescent="0.2">
      <c r="A57" s="98"/>
      <c r="B57" s="98"/>
      <c r="C57" s="98"/>
      <c r="D57" s="98"/>
      <c r="E57" s="98"/>
      <c r="F57" s="98"/>
      <c r="G57" s="98"/>
      <c r="H57" s="98"/>
      <c r="I57" s="98"/>
      <c r="J57" s="98"/>
      <c r="K57" s="98"/>
      <c r="L57" s="98"/>
      <c r="M57" s="98"/>
      <c r="N57" s="98"/>
      <c r="O57" s="98"/>
      <c r="P57" s="98"/>
      <c r="Q57" s="98"/>
      <c r="R57" s="98"/>
      <c r="S57" s="98"/>
      <c r="T57" s="98"/>
    </row>
    <row r="58" spans="1:25" x14ac:dyDescent="0.2">
      <c r="A58" s="98"/>
      <c r="B58" s="98"/>
      <c r="C58" s="98"/>
      <c r="D58" s="98"/>
      <c r="E58" s="98"/>
      <c r="F58" s="98"/>
      <c r="G58" s="98"/>
      <c r="H58" s="98"/>
      <c r="I58" s="98"/>
      <c r="J58" s="98"/>
      <c r="K58" s="98"/>
      <c r="L58" s="98"/>
      <c r="M58" s="98"/>
      <c r="N58" s="98"/>
      <c r="O58" s="98"/>
      <c r="P58" s="98"/>
      <c r="Q58" s="98"/>
      <c r="R58" s="98"/>
      <c r="S58" s="98"/>
      <c r="T58" s="98"/>
    </row>
    <row r="59" spans="1:25" x14ac:dyDescent="0.2">
      <c r="A59" s="98"/>
      <c r="B59" s="98"/>
      <c r="C59" s="98"/>
      <c r="D59" s="98"/>
      <c r="E59" s="98"/>
      <c r="F59" s="98"/>
      <c r="G59" s="98"/>
      <c r="H59" s="98"/>
      <c r="I59" s="98"/>
      <c r="J59" s="98"/>
      <c r="K59" s="98"/>
      <c r="L59" s="98"/>
      <c r="M59" s="98"/>
      <c r="N59" s="98"/>
      <c r="O59" s="98"/>
      <c r="P59" s="98"/>
      <c r="Q59" s="98"/>
      <c r="R59" s="98"/>
      <c r="S59" s="98"/>
      <c r="T59" s="98"/>
      <c r="U59" s="84" t="s">
        <v>143</v>
      </c>
      <c r="V59" s="84"/>
      <c r="W59" s="84"/>
      <c r="X59" s="84"/>
      <c r="Y59" s="84"/>
    </row>
    <row r="60" spans="1:25" x14ac:dyDescent="0.2">
      <c r="A60" s="98"/>
      <c r="B60" s="98"/>
      <c r="C60" s="98"/>
      <c r="D60" s="98"/>
      <c r="E60" s="98"/>
      <c r="F60" s="98"/>
      <c r="G60" s="98"/>
      <c r="H60" s="98"/>
      <c r="I60" s="98"/>
      <c r="J60" s="98"/>
      <c r="K60" s="98"/>
      <c r="L60" s="98"/>
      <c r="M60" s="98"/>
      <c r="N60" s="98"/>
      <c r="O60" s="98"/>
      <c r="P60" s="98"/>
      <c r="Q60" s="98"/>
      <c r="R60" s="98"/>
      <c r="S60" s="98"/>
      <c r="T60" s="98"/>
      <c r="U60" s="85" t="s">
        <v>144</v>
      </c>
      <c r="V60" s="85"/>
      <c r="W60" s="85"/>
      <c r="X60" s="85"/>
      <c r="Y60" s="85"/>
    </row>
    <row r="61" spans="1:25" x14ac:dyDescent="0.2">
      <c r="A61" s="98"/>
      <c r="B61" s="98"/>
      <c r="C61" s="98"/>
      <c r="D61" s="98"/>
      <c r="E61" s="98"/>
      <c r="F61" s="98"/>
      <c r="G61" s="98"/>
      <c r="H61" s="98"/>
      <c r="I61" s="98"/>
      <c r="J61" s="98"/>
      <c r="K61" s="98"/>
      <c r="L61" s="98"/>
      <c r="M61" s="98"/>
      <c r="N61" s="98"/>
      <c r="O61" s="98"/>
      <c r="P61" s="98"/>
      <c r="Q61" s="98"/>
      <c r="R61" s="98"/>
      <c r="S61" s="98"/>
      <c r="T61" s="98"/>
      <c r="U61" s="85"/>
      <c r="V61" s="85"/>
      <c r="W61" s="85"/>
      <c r="X61" s="85"/>
      <c r="Y61" s="85"/>
    </row>
    <row r="62" spans="1:25" x14ac:dyDescent="0.2">
      <c r="M62" s="20"/>
      <c r="N62" s="20"/>
      <c r="O62" s="20"/>
      <c r="P62" s="20"/>
      <c r="Q62" s="20"/>
      <c r="R62" s="20"/>
      <c r="S62" s="20"/>
      <c r="T62" s="20"/>
      <c r="U62" s="85"/>
      <c r="V62" s="85"/>
      <c r="W62" s="85"/>
      <c r="X62" s="85"/>
      <c r="Y62" s="85"/>
    </row>
    <row r="63" spans="1:25" x14ac:dyDescent="0.2">
      <c r="A63" s="94" t="s">
        <v>138</v>
      </c>
      <c r="B63" s="94"/>
      <c r="C63" s="94"/>
      <c r="D63" s="94"/>
      <c r="E63" s="94"/>
      <c r="F63" s="94"/>
      <c r="G63" s="94"/>
      <c r="H63" s="94"/>
      <c r="I63" s="94"/>
      <c r="J63" s="94"/>
      <c r="K63" s="94"/>
      <c r="L63" s="94"/>
      <c r="M63" s="94"/>
      <c r="N63" s="94"/>
      <c r="O63" s="94"/>
      <c r="P63" s="94"/>
      <c r="Q63" s="94"/>
      <c r="R63" s="94"/>
      <c r="S63" s="94"/>
      <c r="T63" s="94"/>
      <c r="U63" s="85"/>
      <c r="V63" s="85"/>
      <c r="W63" s="85"/>
      <c r="X63" s="85"/>
      <c r="Y63" s="85"/>
    </row>
    <row r="64" spans="1:25" x14ac:dyDescent="0.2">
      <c r="A64" s="94"/>
      <c r="B64" s="94"/>
      <c r="C64" s="94"/>
      <c r="D64" s="94"/>
      <c r="E64" s="94"/>
      <c r="F64" s="94"/>
      <c r="G64" s="94"/>
      <c r="H64" s="94"/>
      <c r="I64" s="94"/>
      <c r="J64" s="94"/>
      <c r="K64" s="94"/>
      <c r="L64" s="94"/>
      <c r="M64" s="94"/>
      <c r="N64" s="94"/>
      <c r="O64" s="94"/>
      <c r="P64" s="94"/>
      <c r="Q64" s="94"/>
      <c r="R64" s="94"/>
      <c r="S64" s="94"/>
      <c r="T64" s="94"/>
      <c r="U64" s="85"/>
      <c r="V64" s="85"/>
      <c r="W64" s="85"/>
      <c r="X64" s="85"/>
      <c r="Y64" s="85"/>
    </row>
    <row r="65" spans="1:25" x14ac:dyDescent="0.2">
      <c r="A65" s="86"/>
      <c r="B65" s="86"/>
      <c r="C65" s="89"/>
      <c r="D65" s="89"/>
      <c r="E65" s="89"/>
      <c r="F65" s="89"/>
      <c r="G65" s="89"/>
      <c r="H65" s="48"/>
      <c r="I65" s="48"/>
      <c r="J65" s="48"/>
      <c r="K65" s="48"/>
      <c r="L65" s="48"/>
      <c r="M65" s="49"/>
      <c r="N65" s="49"/>
      <c r="O65" s="49"/>
      <c r="P65" s="49"/>
      <c r="Q65" s="49"/>
      <c r="R65" s="49"/>
      <c r="S65" s="49"/>
      <c r="T65" s="50"/>
      <c r="U65" s="85"/>
      <c r="V65" s="85"/>
      <c r="W65" s="85"/>
      <c r="X65" s="85"/>
      <c r="Y65" s="85"/>
    </row>
    <row r="66" spans="1:25" x14ac:dyDescent="0.2">
      <c r="A66" s="87"/>
      <c r="B66" s="87" t="s">
        <v>139</v>
      </c>
      <c r="C66" s="90"/>
      <c r="D66" s="90"/>
      <c r="E66" s="90"/>
      <c r="F66" s="90"/>
      <c r="G66" s="90"/>
      <c r="H66" s="90"/>
      <c r="I66" s="90"/>
      <c r="J66" s="90"/>
      <c r="K66" s="90"/>
      <c r="L66" s="90"/>
      <c r="M66" s="90"/>
      <c r="N66" s="90"/>
      <c r="O66" s="90"/>
      <c r="P66" s="90"/>
      <c r="Q66" s="90"/>
      <c r="R66" s="90"/>
      <c r="S66" s="90"/>
      <c r="T66" s="91"/>
      <c r="U66" s="85"/>
      <c r="V66" s="85"/>
      <c r="W66" s="85"/>
      <c r="X66" s="85"/>
      <c r="Y66" s="85"/>
    </row>
    <row r="67" spans="1:25" x14ac:dyDescent="0.2">
      <c r="A67" s="87"/>
      <c r="B67" s="87"/>
      <c r="C67" s="90"/>
      <c r="D67" s="90"/>
      <c r="E67" s="90"/>
      <c r="F67" s="90"/>
      <c r="G67" s="90"/>
      <c r="H67" s="90"/>
      <c r="I67" s="90"/>
      <c r="J67" s="90"/>
      <c r="K67" s="90"/>
      <c r="L67" s="90"/>
      <c r="M67" s="90"/>
      <c r="N67" s="90"/>
      <c r="O67" s="90"/>
      <c r="P67" s="90"/>
      <c r="Q67" s="90"/>
      <c r="R67" s="90"/>
      <c r="S67" s="90"/>
      <c r="T67" s="91"/>
      <c r="U67" s="85"/>
      <c r="V67" s="85"/>
      <c r="W67" s="85"/>
      <c r="X67" s="85"/>
      <c r="Y67" s="85"/>
    </row>
    <row r="68" spans="1:25" x14ac:dyDescent="0.2">
      <c r="A68" s="88"/>
      <c r="B68" s="88"/>
      <c r="C68" s="92"/>
      <c r="D68" s="92"/>
      <c r="E68" s="92"/>
      <c r="F68" s="92"/>
      <c r="G68" s="92"/>
      <c r="H68" s="51"/>
      <c r="I68" s="51"/>
      <c r="J68" s="51"/>
      <c r="K68" s="51"/>
      <c r="L68" s="51"/>
      <c r="M68" s="51"/>
      <c r="N68" s="51"/>
      <c r="O68" s="51"/>
      <c r="P68" s="51"/>
      <c r="Q68" s="51"/>
      <c r="R68" s="51"/>
      <c r="S68" s="51"/>
      <c r="T68" s="52"/>
      <c r="U68" s="85"/>
      <c r="V68" s="85"/>
      <c r="W68" s="85"/>
      <c r="X68" s="85"/>
      <c r="Y68" s="85"/>
    </row>
    <row r="69" spans="1:25" x14ac:dyDescent="0.2">
      <c r="A69" s="93"/>
      <c r="B69" s="93"/>
      <c r="C69" s="93"/>
      <c r="D69" s="93"/>
      <c r="E69" s="93"/>
      <c r="F69" s="93"/>
      <c r="G69" s="93"/>
      <c r="H69" s="93"/>
      <c r="I69" s="93"/>
      <c r="J69" s="93"/>
      <c r="K69" s="93"/>
      <c r="L69" s="93"/>
      <c r="M69" s="93"/>
      <c r="N69" s="93"/>
      <c r="O69" s="93"/>
      <c r="P69" s="93"/>
      <c r="Q69" s="93"/>
      <c r="R69" s="93"/>
      <c r="S69" s="93"/>
      <c r="T69" s="93"/>
      <c r="U69" s="85"/>
      <c r="V69" s="85"/>
      <c r="W69" s="85"/>
      <c r="X69" s="85"/>
      <c r="Y69" s="85"/>
    </row>
    <row r="70" spans="1:25" x14ac:dyDescent="0.2">
      <c r="A70" s="93"/>
      <c r="B70" s="93"/>
      <c r="C70" s="93"/>
      <c r="D70" s="93"/>
      <c r="E70" s="93"/>
      <c r="F70" s="93"/>
      <c r="G70" s="93"/>
      <c r="H70" s="93"/>
      <c r="I70" s="93"/>
      <c r="J70" s="93"/>
      <c r="K70" s="93"/>
      <c r="L70" s="93"/>
      <c r="M70" s="93"/>
      <c r="N70" s="93"/>
      <c r="O70" s="93"/>
      <c r="P70" s="93"/>
      <c r="Q70" s="93"/>
      <c r="R70" s="93"/>
      <c r="S70" s="93"/>
      <c r="T70" s="93"/>
      <c r="U70" s="85"/>
      <c r="V70" s="85"/>
      <c r="W70" s="85"/>
      <c r="X70" s="85"/>
      <c r="Y70" s="85"/>
    </row>
    <row r="71" spans="1:25" x14ac:dyDescent="0.2">
      <c r="A71" s="93"/>
      <c r="B71" s="93"/>
      <c r="C71" s="93"/>
      <c r="D71" s="93"/>
      <c r="E71" s="93"/>
      <c r="F71" s="93"/>
      <c r="G71" s="93"/>
      <c r="H71" s="93"/>
      <c r="I71" s="93"/>
      <c r="J71" s="93"/>
      <c r="K71" s="93"/>
      <c r="L71" s="93"/>
      <c r="M71" s="93"/>
      <c r="N71" s="93"/>
      <c r="O71" s="93"/>
      <c r="P71" s="93"/>
      <c r="Q71" s="93"/>
      <c r="R71" s="93"/>
      <c r="S71" s="93"/>
      <c r="T71" s="93"/>
      <c r="U71" s="85"/>
      <c r="V71" s="85"/>
      <c r="W71" s="85"/>
      <c r="X71" s="85"/>
      <c r="Y71" s="85"/>
    </row>
    <row r="72" spans="1:25" x14ac:dyDescent="0.2">
      <c r="A72" s="93"/>
      <c r="B72" s="93"/>
      <c r="C72" s="93"/>
      <c r="D72" s="93"/>
      <c r="E72" s="93"/>
      <c r="F72" s="93"/>
      <c r="G72" s="93"/>
      <c r="H72" s="93"/>
      <c r="I72" s="93"/>
      <c r="J72" s="93"/>
      <c r="K72" s="93"/>
      <c r="L72" s="93"/>
      <c r="M72" s="93"/>
      <c r="N72" s="93"/>
      <c r="O72" s="93"/>
      <c r="P72" s="93"/>
      <c r="Q72" s="93"/>
      <c r="R72" s="93"/>
      <c r="S72" s="93"/>
      <c r="T72" s="93"/>
      <c r="U72" s="85"/>
      <c r="V72" s="85"/>
      <c r="W72" s="85"/>
      <c r="X72" s="85"/>
      <c r="Y72" s="85"/>
    </row>
    <row r="73" spans="1:25" x14ac:dyDescent="0.2">
      <c r="A73" s="221" t="s">
        <v>88</v>
      </c>
      <c r="B73" s="221"/>
      <c r="C73" s="221"/>
      <c r="D73" s="221"/>
      <c r="E73" s="221"/>
      <c r="F73" s="221"/>
      <c r="G73" s="221"/>
      <c r="H73" s="221"/>
      <c r="I73" s="221"/>
      <c r="J73" s="221"/>
      <c r="K73" s="221"/>
      <c r="L73" s="221"/>
      <c r="M73" s="221"/>
      <c r="N73" s="221"/>
      <c r="O73" s="221"/>
      <c r="P73" s="221"/>
      <c r="Q73" s="221"/>
      <c r="R73" s="221"/>
      <c r="S73" s="221"/>
      <c r="T73" s="221"/>
    </row>
    <row r="74" spans="1:25" x14ac:dyDescent="0.2">
      <c r="A74" s="222"/>
      <c r="B74" s="222"/>
      <c r="C74" s="222"/>
      <c r="D74" s="222"/>
      <c r="E74" s="222"/>
      <c r="F74" s="222"/>
      <c r="G74" s="222"/>
      <c r="H74" s="222"/>
      <c r="I74" s="222"/>
      <c r="J74" s="222"/>
      <c r="K74" s="222"/>
      <c r="L74" s="222"/>
      <c r="M74" s="222"/>
      <c r="N74" s="222"/>
      <c r="O74" s="222"/>
      <c r="P74" s="222"/>
      <c r="Q74" s="222"/>
      <c r="R74" s="222"/>
      <c r="S74" s="222"/>
      <c r="T74" s="222"/>
    </row>
    <row r="75" spans="1:25" x14ac:dyDescent="0.2">
      <c r="A75" s="112" t="s">
        <v>36</v>
      </c>
      <c r="B75" s="113"/>
      <c r="C75" s="113"/>
      <c r="D75" s="113"/>
      <c r="E75" s="113"/>
      <c r="F75" s="113"/>
      <c r="G75" s="113"/>
      <c r="H75" s="113"/>
      <c r="I75" s="113"/>
      <c r="J75" s="113"/>
      <c r="K75" s="113"/>
      <c r="L75" s="113"/>
      <c r="M75" s="113"/>
      <c r="N75" s="113"/>
      <c r="O75" s="113"/>
      <c r="P75" s="113"/>
      <c r="Q75" s="113"/>
      <c r="R75" s="113"/>
      <c r="S75" s="113"/>
      <c r="T75" s="114"/>
    </row>
    <row r="76" spans="1:25" x14ac:dyDescent="0.2">
      <c r="A76" s="117"/>
      <c r="B76" s="118"/>
      <c r="C76" s="118"/>
      <c r="D76" s="118"/>
      <c r="E76" s="118"/>
      <c r="F76" s="118"/>
      <c r="G76" s="118"/>
      <c r="H76" s="118"/>
      <c r="I76" s="118"/>
      <c r="J76" s="118"/>
      <c r="K76" s="118"/>
      <c r="L76" s="118"/>
      <c r="M76" s="118"/>
      <c r="N76" s="118"/>
      <c r="O76" s="118"/>
      <c r="P76" s="118"/>
      <c r="Q76" s="118"/>
      <c r="R76" s="118"/>
      <c r="S76" s="118"/>
      <c r="T76" s="119"/>
    </row>
    <row r="77" spans="1:25" x14ac:dyDescent="0.2">
      <c r="A77" s="124" t="s">
        <v>23</v>
      </c>
      <c r="B77" s="112" t="s">
        <v>22</v>
      </c>
      <c r="C77" s="113"/>
      <c r="D77" s="113"/>
      <c r="E77" s="113"/>
      <c r="F77" s="113"/>
      <c r="G77" s="113"/>
      <c r="H77" s="113"/>
      <c r="I77" s="114"/>
      <c r="J77" s="102" t="s">
        <v>34</v>
      </c>
      <c r="K77" s="105" t="s">
        <v>20</v>
      </c>
      <c r="L77" s="106"/>
      <c r="M77" s="107"/>
      <c r="N77" s="105" t="s">
        <v>35</v>
      </c>
      <c r="O77" s="106"/>
      <c r="P77" s="107"/>
      <c r="Q77" s="105" t="s">
        <v>19</v>
      </c>
      <c r="R77" s="106"/>
      <c r="S77" s="107"/>
      <c r="T77" s="102" t="s">
        <v>18</v>
      </c>
    </row>
    <row r="78" spans="1:25" x14ac:dyDescent="0.2">
      <c r="A78" s="125"/>
      <c r="B78" s="115"/>
      <c r="C78" s="97"/>
      <c r="D78" s="97"/>
      <c r="E78" s="97"/>
      <c r="F78" s="97"/>
      <c r="G78" s="97"/>
      <c r="H78" s="97"/>
      <c r="I78" s="116"/>
      <c r="J78" s="103"/>
      <c r="K78" s="108"/>
      <c r="L78" s="109"/>
      <c r="M78" s="110"/>
      <c r="N78" s="108"/>
      <c r="O78" s="109"/>
      <c r="P78" s="110"/>
      <c r="Q78" s="108"/>
      <c r="R78" s="109"/>
      <c r="S78" s="110"/>
      <c r="T78" s="103"/>
    </row>
    <row r="79" spans="1:25" x14ac:dyDescent="0.2">
      <c r="A79" s="126"/>
      <c r="B79" s="117"/>
      <c r="C79" s="118"/>
      <c r="D79" s="118"/>
      <c r="E79" s="118"/>
      <c r="F79" s="118"/>
      <c r="G79" s="118"/>
      <c r="H79" s="118"/>
      <c r="I79" s="119"/>
      <c r="J79" s="104"/>
      <c r="K79" s="3" t="s">
        <v>24</v>
      </c>
      <c r="L79" s="3" t="s">
        <v>25</v>
      </c>
      <c r="M79" s="3" t="s">
        <v>26</v>
      </c>
      <c r="N79" s="3" t="s">
        <v>30</v>
      </c>
      <c r="O79" s="3" t="s">
        <v>5</v>
      </c>
      <c r="P79" s="3" t="s">
        <v>27</v>
      </c>
      <c r="Q79" s="3" t="s">
        <v>28</v>
      </c>
      <c r="R79" s="3" t="s">
        <v>24</v>
      </c>
      <c r="S79" s="3" t="s">
        <v>29</v>
      </c>
      <c r="T79" s="104"/>
    </row>
    <row r="80" spans="1:25" ht="28.35" customHeight="1" x14ac:dyDescent="0.2">
      <c r="A80" s="55" t="s">
        <v>146</v>
      </c>
      <c r="B80" s="130" t="s">
        <v>147</v>
      </c>
      <c r="C80" s="138"/>
      <c r="D80" s="138"/>
      <c r="E80" s="138"/>
      <c r="F80" s="138"/>
      <c r="G80" s="138"/>
      <c r="H80" s="138"/>
      <c r="I80" s="139"/>
      <c r="J80" s="12">
        <v>7</v>
      </c>
      <c r="K80" s="12">
        <v>2</v>
      </c>
      <c r="L80" s="12">
        <v>1</v>
      </c>
      <c r="M80" s="12">
        <v>0</v>
      </c>
      <c r="N80" s="7">
        <f>K80+L80+M80</f>
        <v>3</v>
      </c>
      <c r="O80" s="8">
        <f>P80-N80</f>
        <v>10</v>
      </c>
      <c r="P80" s="8">
        <f>ROUND(PRODUCT(J80,25)/14,0)</f>
        <v>13</v>
      </c>
      <c r="Q80" s="56" t="s">
        <v>28</v>
      </c>
      <c r="R80" s="12"/>
      <c r="S80" s="12"/>
      <c r="T80" s="12" t="s">
        <v>90</v>
      </c>
      <c r="U80" s="121" t="str">
        <f>IF(J85&gt;=30,"Corect","Sunt necesare cel puțin 30 de credite")</f>
        <v>Corect</v>
      </c>
      <c r="V80" s="122"/>
      <c r="W80" s="122"/>
    </row>
    <row r="81" spans="1:23" ht="19.7" customHeight="1" x14ac:dyDescent="0.2">
      <c r="A81" s="55" t="s">
        <v>148</v>
      </c>
      <c r="B81" s="130" t="s">
        <v>149</v>
      </c>
      <c r="C81" s="138"/>
      <c r="D81" s="138"/>
      <c r="E81" s="138"/>
      <c r="F81" s="138"/>
      <c r="G81" s="138"/>
      <c r="H81" s="138"/>
      <c r="I81" s="139"/>
      <c r="J81" s="12">
        <v>6</v>
      </c>
      <c r="K81" s="12">
        <v>0</v>
      </c>
      <c r="L81" s="12">
        <v>0</v>
      </c>
      <c r="M81" s="12">
        <v>2</v>
      </c>
      <c r="N81" s="7">
        <f t="shared" ref="N81:N83" si="2">K81+L81+M81</f>
        <v>2</v>
      </c>
      <c r="O81" s="8">
        <f t="shared" ref="O81:O83" si="3">P81-N81</f>
        <v>9</v>
      </c>
      <c r="P81" s="8">
        <f t="shared" ref="P81:P83" si="4">ROUND(PRODUCT(J81,25)/14,0)</f>
        <v>11</v>
      </c>
      <c r="Q81" s="56"/>
      <c r="R81" s="12" t="s">
        <v>24</v>
      </c>
      <c r="S81" s="12"/>
      <c r="T81" s="12" t="s">
        <v>91</v>
      </c>
    </row>
    <row r="82" spans="1:23" ht="28.35" customHeight="1" x14ac:dyDescent="0.2">
      <c r="A82" s="55" t="s">
        <v>150</v>
      </c>
      <c r="B82" s="130" t="s">
        <v>151</v>
      </c>
      <c r="C82" s="138"/>
      <c r="D82" s="138"/>
      <c r="E82" s="138"/>
      <c r="F82" s="138"/>
      <c r="G82" s="138"/>
      <c r="H82" s="138"/>
      <c r="I82" s="139"/>
      <c r="J82" s="12">
        <v>6</v>
      </c>
      <c r="K82" s="12">
        <v>0</v>
      </c>
      <c r="L82" s="12">
        <v>0</v>
      </c>
      <c r="M82" s="12">
        <v>2</v>
      </c>
      <c r="N82" s="7">
        <f t="shared" si="2"/>
        <v>2</v>
      </c>
      <c r="O82" s="8">
        <f t="shared" si="3"/>
        <v>9</v>
      </c>
      <c r="P82" s="8">
        <f t="shared" si="4"/>
        <v>11</v>
      </c>
      <c r="Q82" s="56"/>
      <c r="R82" s="12" t="s">
        <v>24</v>
      </c>
      <c r="S82" s="12"/>
      <c r="T82" s="12" t="s">
        <v>91</v>
      </c>
    </row>
    <row r="83" spans="1:23" ht="19.7" customHeight="1" x14ac:dyDescent="0.2">
      <c r="A83" s="55" t="s">
        <v>152</v>
      </c>
      <c r="B83" s="130" t="s">
        <v>153</v>
      </c>
      <c r="C83" s="138"/>
      <c r="D83" s="138"/>
      <c r="E83" s="138"/>
      <c r="F83" s="138"/>
      <c r="G83" s="138"/>
      <c r="H83" s="138"/>
      <c r="I83" s="139"/>
      <c r="J83" s="12">
        <v>6</v>
      </c>
      <c r="K83" s="12">
        <v>2</v>
      </c>
      <c r="L83" s="12">
        <v>2</v>
      </c>
      <c r="M83" s="12">
        <v>0</v>
      </c>
      <c r="N83" s="7">
        <f t="shared" si="2"/>
        <v>4</v>
      </c>
      <c r="O83" s="8">
        <f t="shared" si="3"/>
        <v>7</v>
      </c>
      <c r="P83" s="8">
        <f t="shared" si="4"/>
        <v>11</v>
      </c>
      <c r="Q83" s="56" t="s">
        <v>28</v>
      </c>
      <c r="R83" s="12"/>
      <c r="S83" s="12"/>
      <c r="T83" s="12" t="s">
        <v>91</v>
      </c>
    </row>
    <row r="84" spans="1:23" ht="19.7" customHeight="1" x14ac:dyDescent="0.2">
      <c r="A84" s="55" t="s">
        <v>154</v>
      </c>
      <c r="B84" s="130" t="s">
        <v>155</v>
      </c>
      <c r="C84" s="138"/>
      <c r="D84" s="138"/>
      <c r="E84" s="138"/>
      <c r="F84" s="138"/>
      <c r="G84" s="138"/>
      <c r="H84" s="138"/>
      <c r="I84" s="139"/>
      <c r="J84" s="12">
        <v>5</v>
      </c>
      <c r="K84" s="12">
        <v>2</v>
      </c>
      <c r="L84" s="12">
        <v>1</v>
      </c>
      <c r="M84" s="12">
        <v>0</v>
      </c>
      <c r="N84" s="7">
        <f>K84+L84+M84</f>
        <v>3</v>
      </c>
      <c r="O84" s="8">
        <f>P84-N84</f>
        <v>6</v>
      </c>
      <c r="P84" s="8">
        <f>ROUND(PRODUCT(J84,25)/14,0)</f>
        <v>9</v>
      </c>
      <c r="Q84" s="56" t="s">
        <v>28</v>
      </c>
      <c r="R84" s="12"/>
      <c r="S84" s="12"/>
      <c r="T84" s="12" t="s">
        <v>91</v>
      </c>
    </row>
    <row r="85" spans="1:23" x14ac:dyDescent="0.2">
      <c r="A85" s="9" t="s">
        <v>21</v>
      </c>
      <c r="B85" s="127"/>
      <c r="C85" s="128"/>
      <c r="D85" s="128"/>
      <c r="E85" s="128"/>
      <c r="F85" s="128"/>
      <c r="G85" s="128"/>
      <c r="H85" s="128"/>
      <c r="I85" s="129"/>
      <c r="J85" s="9">
        <f t="shared" ref="J85:P85" si="5">SUM(J80:J84)</f>
        <v>30</v>
      </c>
      <c r="K85" s="9">
        <f t="shared" si="5"/>
        <v>6</v>
      </c>
      <c r="L85" s="9">
        <f t="shared" si="5"/>
        <v>4</v>
      </c>
      <c r="M85" s="9">
        <f t="shared" si="5"/>
        <v>4</v>
      </c>
      <c r="N85" s="9">
        <f t="shared" si="5"/>
        <v>14</v>
      </c>
      <c r="O85" s="9">
        <f t="shared" si="5"/>
        <v>41</v>
      </c>
      <c r="P85" s="9">
        <f t="shared" si="5"/>
        <v>55</v>
      </c>
      <c r="Q85" s="9">
        <f>COUNTIF(Q80:Q84,"E")</f>
        <v>3</v>
      </c>
      <c r="R85" s="9">
        <f>COUNTIF(R80:R84,"C")</f>
        <v>2</v>
      </c>
      <c r="S85" s="9">
        <f>COUNTIF(S80:S84,"VP")</f>
        <v>0</v>
      </c>
      <c r="T85" s="32">
        <f>COUNTA(T80:T84)</f>
        <v>5</v>
      </c>
      <c r="U85" s="90" t="str">
        <f>IF(Q85&gt;=SUM(R85:S85),"Corect","E trebuie să fie cel puțin egal cu C+VP")</f>
        <v>Corect</v>
      </c>
      <c r="V85" s="90"/>
      <c r="W85" s="90"/>
    </row>
    <row r="88" spans="1:23" x14ac:dyDescent="0.2">
      <c r="A88" s="112" t="s">
        <v>37</v>
      </c>
      <c r="B88" s="113"/>
      <c r="C88" s="113"/>
      <c r="D88" s="113"/>
      <c r="E88" s="113"/>
      <c r="F88" s="113"/>
      <c r="G88" s="113"/>
      <c r="H88" s="113"/>
      <c r="I88" s="113"/>
      <c r="J88" s="113"/>
      <c r="K88" s="113"/>
      <c r="L88" s="113"/>
      <c r="M88" s="113"/>
      <c r="N88" s="113"/>
      <c r="O88" s="113"/>
      <c r="P88" s="113"/>
      <c r="Q88" s="113"/>
      <c r="R88" s="113"/>
      <c r="S88" s="113"/>
      <c r="T88" s="114"/>
    </row>
    <row r="89" spans="1:23" x14ac:dyDescent="0.2">
      <c r="A89" s="115"/>
      <c r="B89" s="97"/>
      <c r="C89" s="97"/>
      <c r="D89" s="97"/>
      <c r="E89" s="97"/>
      <c r="F89" s="97"/>
      <c r="G89" s="97"/>
      <c r="H89" s="97"/>
      <c r="I89" s="97"/>
      <c r="J89" s="97"/>
      <c r="K89" s="97"/>
      <c r="L89" s="97"/>
      <c r="M89" s="97"/>
      <c r="N89" s="97"/>
      <c r="O89" s="97"/>
      <c r="P89" s="97"/>
      <c r="Q89" s="97"/>
      <c r="R89" s="97"/>
      <c r="S89" s="97"/>
      <c r="T89" s="116"/>
    </row>
    <row r="90" spans="1:23" x14ac:dyDescent="0.2">
      <c r="A90" s="124" t="s">
        <v>23</v>
      </c>
      <c r="B90" s="112" t="s">
        <v>22</v>
      </c>
      <c r="C90" s="113"/>
      <c r="D90" s="113"/>
      <c r="E90" s="113"/>
      <c r="F90" s="113"/>
      <c r="G90" s="113"/>
      <c r="H90" s="113"/>
      <c r="I90" s="114"/>
      <c r="J90" s="102" t="s">
        <v>34</v>
      </c>
      <c r="K90" s="105" t="s">
        <v>20</v>
      </c>
      <c r="L90" s="106"/>
      <c r="M90" s="107"/>
      <c r="N90" s="105" t="s">
        <v>35</v>
      </c>
      <c r="O90" s="106"/>
      <c r="P90" s="107"/>
      <c r="Q90" s="105" t="s">
        <v>19</v>
      </c>
      <c r="R90" s="106"/>
      <c r="S90" s="107"/>
      <c r="T90" s="111" t="s">
        <v>18</v>
      </c>
    </row>
    <row r="91" spans="1:23" x14ac:dyDescent="0.2">
      <c r="A91" s="125"/>
      <c r="B91" s="115"/>
      <c r="C91" s="97"/>
      <c r="D91" s="97"/>
      <c r="E91" s="97"/>
      <c r="F91" s="97"/>
      <c r="G91" s="97"/>
      <c r="H91" s="97"/>
      <c r="I91" s="116"/>
      <c r="J91" s="103"/>
      <c r="K91" s="108"/>
      <c r="L91" s="109"/>
      <c r="M91" s="110"/>
      <c r="N91" s="108"/>
      <c r="O91" s="109"/>
      <c r="P91" s="110"/>
      <c r="Q91" s="108"/>
      <c r="R91" s="109"/>
      <c r="S91" s="110"/>
      <c r="T91" s="111"/>
    </row>
    <row r="92" spans="1:23" x14ac:dyDescent="0.2">
      <c r="A92" s="126"/>
      <c r="B92" s="117"/>
      <c r="C92" s="118"/>
      <c r="D92" s="118"/>
      <c r="E92" s="118"/>
      <c r="F92" s="118"/>
      <c r="G92" s="118"/>
      <c r="H92" s="118"/>
      <c r="I92" s="119"/>
      <c r="J92" s="104"/>
      <c r="K92" s="3" t="s">
        <v>24</v>
      </c>
      <c r="L92" s="3" t="s">
        <v>25</v>
      </c>
      <c r="M92" s="3" t="s">
        <v>26</v>
      </c>
      <c r="N92" s="3" t="s">
        <v>30</v>
      </c>
      <c r="O92" s="3" t="s">
        <v>5</v>
      </c>
      <c r="P92" s="3" t="s">
        <v>27</v>
      </c>
      <c r="Q92" s="3" t="s">
        <v>28</v>
      </c>
      <c r="R92" s="3" t="s">
        <v>24</v>
      </c>
      <c r="S92" s="3" t="s">
        <v>29</v>
      </c>
      <c r="T92" s="111"/>
    </row>
    <row r="93" spans="1:23" ht="28.35" customHeight="1" x14ac:dyDescent="0.2">
      <c r="A93" s="55" t="s">
        <v>156</v>
      </c>
      <c r="B93" s="130" t="s">
        <v>157</v>
      </c>
      <c r="C93" s="131"/>
      <c r="D93" s="131"/>
      <c r="E93" s="131"/>
      <c r="F93" s="131"/>
      <c r="G93" s="131"/>
      <c r="H93" s="131"/>
      <c r="I93" s="132"/>
      <c r="J93" s="12">
        <v>6</v>
      </c>
      <c r="K93" s="12">
        <v>2</v>
      </c>
      <c r="L93" s="12">
        <v>1</v>
      </c>
      <c r="M93" s="12">
        <v>0</v>
      </c>
      <c r="N93" s="7">
        <f t="shared" ref="N93" si="6">K93+L93+M93</f>
        <v>3</v>
      </c>
      <c r="O93" s="8">
        <f t="shared" ref="O93" si="7">P93-N93</f>
        <v>8</v>
      </c>
      <c r="P93" s="8">
        <f t="shared" ref="P93" si="8">ROUND(PRODUCT(J93,25)/14,0)</f>
        <v>11</v>
      </c>
      <c r="Q93" s="56" t="s">
        <v>28</v>
      </c>
      <c r="R93" s="12"/>
      <c r="S93" s="12"/>
      <c r="T93" s="12" t="s">
        <v>90</v>
      </c>
      <c r="U93" s="121" t="str">
        <f>IF(J99&gt;=30,"Corect","Sunt necesare cel puțin 30 de credite")</f>
        <v>Corect</v>
      </c>
      <c r="V93" s="122"/>
      <c r="W93" s="122"/>
    </row>
    <row r="94" spans="1:23" ht="28.35" customHeight="1" x14ac:dyDescent="0.2">
      <c r="A94" s="55" t="s">
        <v>158</v>
      </c>
      <c r="B94" s="130" t="s">
        <v>159</v>
      </c>
      <c r="C94" s="131"/>
      <c r="D94" s="131"/>
      <c r="E94" s="131"/>
      <c r="F94" s="131"/>
      <c r="G94" s="131"/>
      <c r="H94" s="131"/>
      <c r="I94" s="132"/>
      <c r="J94" s="12">
        <v>6</v>
      </c>
      <c r="K94" s="12">
        <v>2</v>
      </c>
      <c r="L94" s="12">
        <v>1</v>
      </c>
      <c r="M94" s="12">
        <v>0</v>
      </c>
      <c r="N94" s="7">
        <f t="shared" ref="N94:N98" si="9">K94+L94+M94</f>
        <v>3</v>
      </c>
      <c r="O94" s="8">
        <f t="shared" ref="O94:O98" si="10">P94-N94</f>
        <v>8</v>
      </c>
      <c r="P94" s="8">
        <f t="shared" ref="P94:P98" si="11">ROUND(PRODUCT(J94,25)/14,0)</f>
        <v>11</v>
      </c>
      <c r="Q94" s="56" t="s">
        <v>28</v>
      </c>
      <c r="R94" s="12"/>
      <c r="S94" s="12"/>
      <c r="T94" s="12" t="s">
        <v>91</v>
      </c>
    </row>
    <row r="95" spans="1:23" ht="28.35" customHeight="1" x14ac:dyDescent="0.2">
      <c r="A95" s="55" t="s">
        <v>160</v>
      </c>
      <c r="B95" s="130" t="s">
        <v>161</v>
      </c>
      <c r="C95" s="131"/>
      <c r="D95" s="131"/>
      <c r="E95" s="131"/>
      <c r="F95" s="131"/>
      <c r="G95" s="131"/>
      <c r="H95" s="131"/>
      <c r="I95" s="132"/>
      <c r="J95" s="12">
        <v>5</v>
      </c>
      <c r="K95" s="12">
        <v>2</v>
      </c>
      <c r="L95" s="12">
        <v>1</v>
      </c>
      <c r="M95" s="12">
        <v>0</v>
      </c>
      <c r="N95" s="7">
        <f t="shared" si="9"/>
        <v>3</v>
      </c>
      <c r="O95" s="8">
        <f t="shared" si="10"/>
        <v>6</v>
      </c>
      <c r="P95" s="8">
        <f t="shared" si="11"/>
        <v>9</v>
      </c>
      <c r="Q95" s="56"/>
      <c r="R95" s="12"/>
      <c r="S95" s="12" t="s">
        <v>29</v>
      </c>
      <c r="T95" s="12" t="s">
        <v>91</v>
      </c>
    </row>
    <row r="96" spans="1:23" ht="28.35" customHeight="1" x14ac:dyDescent="0.2">
      <c r="A96" s="55" t="s">
        <v>162</v>
      </c>
      <c r="B96" s="130" t="s">
        <v>163</v>
      </c>
      <c r="C96" s="131"/>
      <c r="D96" s="131"/>
      <c r="E96" s="131"/>
      <c r="F96" s="131"/>
      <c r="G96" s="131"/>
      <c r="H96" s="131"/>
      <c r="I96" s="132"/>
      <c r="J96" s="12">
        <v>5</v>
      </c>
      <c r="K96" s="12">
        <v>0</v>
      </c>
      <c r="L96" s="12">
        <v>0</v>
      </c>
      <c r="M96" s="12">
        <v>2</v>
      </c>
      <c r="N96" s="7">
        <f>K96+L96+M96</f>
        <v>2</v>
      </c>
      <c r="O96" s="8">
        <f>P96-N96</f>
        <v>7</v>
      </c>
      <c r="P96" s="8">
        <f>ROUND(PRODUCT(J96,25)/14,0)</f>
        <v>9</v>
      </c>
      <c r="Q96" s="56"/>
      <c r="R96" s="12" t="s">
        <v>24</v>
      </c>
      <c r="S96" s="12"/>
      <c r="T96" s="12" t="s">
        <v>33</v>
      </c>
    </row>
    <row r="97" spans="1:23" ht="19.7" customHeight="1" x14ac:dyDescent="0.2">
      <c r="A97" s="55" t="s">
        <v>164</v>
      </c>
      <c r="B97" s="130" t="s">
        <v>165</v>
      </c>
      <c r="C97" s="131"/>
      <c r="D97" s="131"/>
      <c r="E97" s="131"/>
      <c r="F97" s="131"/>
      <c r="G97" s="131"/>
      <c r="H97" s="131"/>
      <c r="I97" s="132"/>
      <c r="J97" s="12">
        <v>3</v>
      </c>
      <c r="K97" s="12">
        <v>0</v>
      </c>
      <c r="L97" s="12">
        <v>2</v>
      </c>
      <c r="M97" s="12">
        <v>0</v>
      </c>
      <c r="N97" s="7">
        <f t="shared" si="9"/>
        <v>2</v>
      </c>
      <c r="O97" s="8">
        <f t="shared" si="10"/>
        <v>3</v>
      </c>
      <c r="P97" s="8">
        <f t="shared" si="11"/>
        <v>5</v>
      </c>
      <c r="Q97" s="56"/>
      <c r="R97" s="12"/>
      <c r="S97" s="12" t="s">
        <v>29</v>
      </c>
      <c r="T97" s="12" t="s">
        <v>91</v>
      </c>
    </row>
    <row r="98" spans="1:23" ht="19.7" customHeight="1" x14ac:dyDescent="0.2">
      <c r="A98" s="55" t="s">
        <v>166</v>
      </c>
      <c r="B98" s="130" t="s">
        <v>167</v>
      </c>
      <c r="C98" s="131"/>
      <c r="D98" s="131"/>
      <c r="E98" s="131"/>
      <c r="F98" s="131"/>
      <c r="G98" s="131"/>
      <c r="H98" s="131"/>
      <c r="I98" s="132"/>
      <c r="J98" s="12">
        <v>5</v>
      </c>
      <c r="K98" s="12">
        <v>2</v>
      </c>
      <c r="L98" s="12">
        <v>1</v>
      </c>
      <c r="M98" s="12">
        <v>0</v>
      </c>
      <c r="N98" s="7">
        <f t="shared" si="9"/>
        <v>3</v>
      </c>
      <c r="O98" s="8">
        <f t="shared" si="10"/>
        <v>6</v>
      </c>
      <c r="P98" s="8">
        <f t="shared" si="11"/>
        <v>9</v>
      </c>
      <c r="Q98" s="56" t="s">
        <v>28</v>
      </c>
      <c r="R98" s="12"/>
      <c r="S98" s="12"/>
      <c r="T98" s="12" t="s">
        <v>91</v>
      </c>
    </row>
    <row r="99" spans="1:23" x14ac:dyDescent="0.2">
      <c r="A99" s="9" t="s">
        <v>21</v>
      </c>
      <c r="B99" s="127"/>
      <c r="C99" s="128"/>
      <c r="D99" s="128"/>
      <c r="E99" s="128"/>
      <c r="F99" s="128"/>
      <c r="G99" s="128"/>
      <c r="H99" s="128"/>
      <c r="I99" s="129"/>
      <c r="J99" s="9">
        <f t="shared" ref="J99:P99" si="12">SUM(J93:J98)</f>
        <v>30</v>
      </c>
      <c r="K99" s="9">
        <f t="shared" si="12"/>
        <v>8</v>
      </c>
      <c r="L99" s="9">
        <f t="shared" si="12"/>
        <v>6</v>
      </c>
      <c r="M99" s="9">
        <f t="shared" si="12"/>
        <v>2</v>
      </c>
      <c r="N99" s="9">
        <f t="shared" si="12"/>
        <v>16</v>
      </c>
      <c r="O99" s="9">
        <f t="shared" si="12"/>
        <v>38</v>
      </c>
      <c r="P99" s="9">
        <f t="shared" si="12"/>
        <v>54</v>
      </c>
      <c r="Q99" s="9">
        <f>COUNTIF(Q93:Q98,"E")</f>
        <v>3</v>
      </c>
      <c r="R99" s="9">
        <f>COUNTIF(R93:R98,"C")</f>
        <v>1</v>
      </c>
      <c r="S99" s="9">
        <f>COUNTIF(S93:S98,"VP")</f>
        <v>2</v>
      </c>
      <c r="T99" s="32">
        <f>COUNTA(T93:T98)</f>
        <v>6</v>
      </c>
      <c r="U99" s="263" t="str">
        <f>IF(Q99&gt;=SUM(R99:S99),"Corect","E trebuie să fie cel puțin egal cu C+VP")</f>
        <v>Corect</v>
      </c>
      <c r="V99" s="264"/>
      <c r="W99" s="264"/>
    </row>
    <row r="100" spans="1:23" x14ac:dyDescent="0.2">
      <c r="A100" s="112" t="s">
        <v>38</v>
      </c>
      <c r="B100" s="113"/>
      <c r="C100" s="113"/>
      <c r="D100" s="113"/>
      <c r="E100" s="113"/>
      <c r="F100" s="113"/>
      <c r="G100" s="113"/>
      <c r="H100" s="113"/>
      <c r="I100" s="113"/>
      <c r="J100" s="113"/>
      <c r="K100" s="113"/>
      <c r="L100" s="113"/>
      <c r="M100" s="113"/>
      <c r="N100" s="113"/>
      <c r="O100" s="113"/>
      <c r="P100" s="113"/>
      <c r="Q100" s="113"/>
      <c r="R100" s="113"/>
      <c r="S100" s="113"/>
      <c r="T100" s="114"/>
    </row>
    <row r="101" spans="1:23" x14ac:dyDescent="0.2">
      <c r="A101" s="115"/>
      <c r="B101" s="97"/>
      <c r="C101" s="97"/>
      <c r="D101" s="97"/>
      <c r="E101" s="97"/>
      <c r="F101" s="97"/>
      <c r="G101" s="97"/>
      <c r="H101" s="97"/>
      <c r="I101" s="97"/>
      <c r="J101" s="97"/>
      <c r="K101" s="97"/>
      <c r="L101" s="97"/>
      <c r="M101" s="97"/>
      <c r="N101" s="97"/>
      <c r="O101" s="97"/>
      <c r="P101" s="97"/>
      <c r="Q101" s="97"/>
      <c r="R101" s="97"/>
      <c r="S101" s="97"/>
      <c r="T101" s="116"/>
    </row>
    <row r="102" spans="1:23" x14ac:dyDescent="0.2">
      <c r="A102" s="124" t="s">
        <v>23</v>
      </c>
      <c r="B102" s="112" t="s">
        <v>22</v>
      </c>
      <c r="C102" s="113"/>
      <c r="D102" s="113"/>
      <c r="E102" s="113"/>
      <c r="F102" s="113"/>
      <c r="G102" s="113"/>
      <c r="H102" s="113"/>
      <c r="I102" s="114"/>
      <c r="J102" s="102" t="s">
        <v>34</v>
      </c>
      <c r="K102" s="105" t="s">
        <v>20</v>
      </c>
      <c r="L102" s="106"/>
      <c r="M102" s="107"/>
      <c r="N102" s="105" t="s">
        <v>35</v>
      </c>
      <c r="O102" s="106"/>
      <c r="P102" s="107"/>
      <c r="Q102" s="105" t="s">
        <v>19</v>
      </c>
      <c r="R102" s="106"/>
      <c r="S102" s="107"/>
      <c r="T102" s="111" t="s">
        <v>18</v>
      </c>
    </row>
    <row r="103" spans="1:23" x14ac:dyDescent="0.2">
      <c r="A103" s="125"/>
      <c r="B103" s="115"/>
      <c r="C103" s="97"/>
      <c r="D103" s="97"/>
      <c r="E103" s="97"/>
      <c r="F103" s="97"/>
      <c r="G103" s="97"/>
      <c r="H103" s="97"/>
      <c r="I103" s="116"/>
      <c r="J103" s="103"/>
      <c r="K103" s="108"/>
      <c r="L103" s="109"/>
      <c r="M103" s="110"/>
      <c r="N103" s="108"/>
      <c r="O103" s="109"/>
      <c r="P103" s="110"/>
      <c r="Q103" s="108"/>
      <c r="R103" s="109"/>
      <c r="S103" s="110"/>
      <c r="T103" s="111"/>
    </row>
    <row r="104" spans="1:23" x14ac:dyDescent="0.2">
      <c r="A104" s="126"/>
      <c r="B104" s="117"/>
      <c r="C104" s="118"/>
      <c r="D104" s="118"/>
      <c r="E104" s="118"/>
      <c r="F104" s="118"/>
      <c r="G104" s="118"/>
      <c r="H104" s="118"/>
      <c r="I104" s="119"/>
      <c r="J104" s="104"/>
      <c r="K104" s="3" t="s">
        <v>24</v>
      </c>
      <c r="L104" s="3" t="s">
        <v>25</v>
      </c>
      <c r="M104" s="3" t="s">
        <v>26</v>
      </c>
      <c r="N104" s="3" t="s">
        <v>30</v>
      </c>
      <c r="O104" s="3" t="s">
        <v>5</v>
      </c>
      <c r="P104" s="3" t="s">
        <v>27</v>
      </c>
      <c r="Q104" s="3" t="s">
        <v>28</v>
      </c>
      <c r="R104" s="3" t="s">
        <v>24</v>
      </c>
      <c r="S104" s="3" t="s">
        <v>29</v>
      </c>
      <c r="T104" s="111"/>
    </row>
    <row r="105" spans="1:23" ht="28.35" customHeight="1" x14ac:dyDescent="0.2">
      <c r="A105" s="57" t="s">
        <v>168</v>
      </c>
      <c r="B105" s="130" t="s">
        <v>169</v>
      </c>
      <c r="C105" s="131"/>
      <c r="D105" s="131"/>
      <c r="E105" s="131"/>
      <c r="F105" s="131"/>
      <c r="G105" s="131"/>
      <c r="H105" s="131"/>
      <c r="I105" s="132"/>
      <c r="J105" s="12">
        <v>6</v>
      </c>
      <c r="K105" s="12">
        <v>2</v>
      </c>
      <c r="L105" s="12">
        <v>1</v>
      </c>
      <c r="M105" s="12">
        <v>0</v>
      </c>
      <c r="N105" s="7">
        <f t="shared" ref="N105" si="13">K105+L105+M105</f>
        <v>3</v>
      </c>
      <c r="O105" s="8">
        <f t="shared" ref="O105" si="14">P105-N105</f>
        <v>8</v>
      </c>
      <c r="P105" s="8">
        <f t="shared" ref="P105" si="15">ROUND(PRODUCT(J105,25)/14,0)</f>
        <v>11</v>
      </c>
      <c r="Q105" s="56" t="s">
        <v>28</v>
      </c>
      <c r="R105" s="12"/>
      <c r="S105" s="12"/>
      <c r="T105" s="12" t="s">
        <v>91</v>
      </c>
      <c r="U105" s="121" t="str">
        <f>IF(J111&gt;=30,"Corect","Sunt necesare cel puțin 30 de credite")</f>
        <v>Corect</v>
      </c>
      <c r="V105" s="122"/>
      <c r="W105" s="122"/>
    </row>
    <row r="106" spans="1:23" ht="28.35" customHeight="1" x14ac:dyDescent="0.2">
      <c r="A106" s="58" t="s">
        <v>170</v>
      </c>
      <c r="B106" s="130" t="s">
        <v>171</v>
      </c>
      <c r="C106" s="131"/>
      <c r="D106" s="131"/>
      <c r="E106" s="131"/>
      <c r="F106" s="131"/>
      <c r="G106" s="131"/>
      <c r="H106" s="131"/>
      <c r="I106" s="132"/>
      <c r="J106" s="12">
        <v>5</v>
      </c>
      <c r="K106" s="12">
        <v>2</v>
      </c>
      <c r="L106" s="12">
        <v>1</v>
      </c>
      <c r="M106" s="12">
        <v>0</v>
      </c>
      <c r="N106" s="7">
        <f t="shared" ref="N106:N110" si="16">K106+L106+M106</f>
        <v>3</v>
      </c>
      <c r="O106" s="8">
        <f t="shared" ref="O106:O110" si="17">P106-N106</f>
        <v>6</v>
      </c>
      <c r="P106" s="8">
        <f t="shared" ref="P106:P110" si="18">ROUND(PRODUCT(J106,25)/14,0)</f>
        <v>9</v>
      </c>
      <c r="Q106" s="56"/>
      <c r="R106" s="12" t="s">
        <v>24</v>
      </c>
      <c r="S106" s="12"/>
      <c r="T106" s="12" t="s">
        <v>33</v>
      </c>
    </row>
    <row r="107" spans="1:23" ht="28.35" customHeight="1" x14ac:dyDescent="0.2">
      <c r="A107" s="58" t="s">
        <v>172</v>
      </c>
      <c r="B107" s="130" t="s">
        <v>173</v>
      </c>
      <c r="C107" s="131"/>
      <c r="D107" s="131"/>
      <c r="E107" s="131"/>
      <c r="F107" s="131"/>
      <c r="G107" s="131"/>
      <c r="H107" s="131"/>
      <c r="I107" s="132"/>
      <c r="J107" s="12">
        <v>6</v>
      </c>
      <c r="K107" s="12">
        <v>2</v>
      </c>
      <c r="L107" s="12">
        <v>1</v>
      </c>
      <c r="M107" s="12">
        <v>0</v>
      </c>
      <c r="N107" s="7">
        <f t="shared" si="16"/>
        <v>3</v>
      </c>
      <c r="O107" s="8">
        <f t="shared" si="17"/>
        <v>8</v>
      </c>
      <c r="P107" s="8">
        <f t="shared" si="18"/>
        <v>11</v>
      </c>
      <c r="Q107" s="56" t="s">
        <v>28</v>
      </c>
      <c r="R107" s="12"/>
      <c r="S107" s="12"/>
      <c r="T107" s="12" t="s">
        <v>90</v>
      </c>
    </row>
    <row r="108" spans="1:23" ht="28.35" customHeight="1" x14ac:dyDescent="0.2">
      <c r="A108" s="58" t="s">
        <v>174</v>
      </c>
      <c r="B108" s="130" t="s">
        <v>175</v>
      </c>
      <c r="C108" s="131"/>
      <c r="D108" s="131"/>
      <c r="E108" s="131"/>
      <c r="F108" s="131"/>
      <c r="G108" s="131"/>
      <c r="H108" s="131"/>
      <c r="I108" s="132"/>
      <c r="J108" s="12">
        <v>5</v>
      </c>
      <c r="K108" s="12">
        <v>0</v>
      </c>
      <c r="L108" s="12">
        <v>0</v>
      </c>
      <c r="M108" s="12">
        <v>2</v>
      </c>
      <c r="N108" s="7">
        <f t="shared" si="16"/>
        <v>2</v>
      </c>
      <c r="O108" s="8">
        <f t="shared" si="17"/>
        <v>7</v>
      </c>
      <c r="P108" s="8">
        <f t="shared" si="18"/>
        <v>9</v>
      </c>
      <c r="Q108" s="56"/>
      <c r="R108" s="12"/>
      <c r="S108" s="12" t="s">
        <v>29</v>
      </c>
      <c r="T108" s="12" t="s">
        <v>91</v>
      </c>
    </row>
    <row r="109" spans="1:23" ht="19.7" customHeight="1" x14ac:dyDescent="0.2">
      <c r="A109" s="58" t="s">
        <v>176</v>
      </c>
      <c r="B109" s="130" t="s">
        <v>177</v>
      </c>
      <c r="C109" s="131"/>
      <c r="D109" s="131"/>
      <c r="E109" s="131"/>
      <c r="F109" s="131"/>
      <c r="G109" s="131"/>
      <c r="H109" s="131"/>
      <c r="I109" s="132"/>
      <c r="J109" s="12">
        <v>3</v>
      </c>
      <c r="K109" s="12">
        <v>0</v>
      </c>
      <c r="L109" s="12">
        <v>2</v>
      </c>
      <c r="M109" s="12">
        <v>0</v>
      </c>
      <c r="N109" s="7">
        <f t="shared" si="16"/>
        <v>2</v>
      </c>
      <c r="O109" s="8">
        <f t="shared" si="17"/>
        <v>3</v>
      </c>
      <c r="P109" s="8">
        <f t="shared" si="18"/>
        <v>5</v>
      </c>
      <c r="Q109" s="56"/>
      <c r="R109" s="12"/>
      <c r="S109" s="12" t="s">
        <v>29</v>
      </c>
      <c r="T109" s="12" t="s">
        <v>91</v>
      </c>
    </row>
    <row r="110" spans="1:23" ht="19.7" customHeight="1" x14ac:dyDescent="0.2">
      <c r="A110" s="58" t="s">
        <v>178</v>
      </c>
      <c r="B110" s="130" t="s">
        <v>179</v>
      </c>
      <c r="C110" s="131"/>
      <c r="D110" s="131"/>
      <c r="E110" s="131"/>
      <c r="F110" s="131"/>
      <c r="G110" s="131"/>
      <c r="H110" s="131"/>
      <c r="I110" s="132"/>
      <c r="J110" s="12">
        <v>5</v>
      </c>
      <c r="K110" s="12">
        <v>2</v>
      </c>
      <c r="L110" s="12">
        <v>1</v>
      </c>
      <c r="M110" s="12">
        <v>0</v>
      </c>
      <c r="N110" s="7">
        <f t="shared" si="16"/>
        <v>3</v>
      </c>
      <c r="O110" s="8">
        <f t="shared" si="17"/>
        <v>6</v>
      </c>
      <c r="P110" s="8">
        <f t="shared" si="18"/>
        <v>9</v>
      </c>
      <c r="Q110" s="56" t="s">
        <v>28</v>
      </c>
      <c r="R110" s="12"/>
      <c r="S110" s="12"/>
      <c r="T110" s="12" t="s">
        <v>91</v>
      </c>
    </row>
    <row r="111" spans="1:23" x14ac:dyDescent="0.2">
      <c r="A111" s="9" t="s">
        <v>21</v>
      </c>
      <c r="B111" s="127"/>
      <c r="C111" s="128"/>
      <c r="D111" s="128"/>
      <c r="E111" s="128"/>
      <c r="F111" s="128"/>
      <c r="G111" s="128"/>
      <c r="H111" s="128"/>
      <c r="I111" s="129"/>
      <c r="J111" s="9">
        <f t="shared" ref="J111:P111" si="19">SUM(J105:J110)</f>
        <v>30</v>
      </c>
      <c r="K111" s="9">
        <f t="shared" si="19"/>
        <v>8</v>
      </c>
      <c r="L111" s="9">
        <f t="shared" si="19"/>
        <v>6</v>
      </c>
      <c r="M111" s="9">
        <f t="shared" si="19"/>
        <v>2</v>
      </c>
      <c r="N111" s="9">
        <f t="shared" si="19"/>
        <v>16</v>
      </c>
      <c r="O111" s="9">
        <f t="shared" si="19"/>
        <v>38</v>
      </c>
      <c r="P111" s="9">
        <f t="shared" si="19"/>
        <v>54</v>
      </c>
      <c r="Q111" s="9">
        <f>COUNTIF(Q105:Q110,"E")</f>
        <v>3</v>
      </c>
      <c r="R111" s="9">
        <f>COUNTIF(R105:R110,"C")</f>
        <v>1</v>
      </c>
      <c r="S111" s="9">
        <f>COUNTIF(S105:S110,"VP")</f>
        <v>2</v>
      </c>
      <c r="T111" s="32">
        <f>COUNTA(T105:T110)</f>
        <v>6</v>
      </c>
      <c r="U111" s="263" t="str">
        <f>IF(Q111&gt;=SUM(R111:S111),"Corect","E trebuie să fie cel puțin egal cu C+VP")</f>
        <v>Corect</v>
      </c>
      <c r="V111" s="264"/>
      <c r="W111" s="264"/>
    </row>
    <row r="112" spans="1:23" x14ac:dyDescent="0.2">
      <c r="V112" s="38"/>
      <c r="W112" s="38"/>
    </row>
    <row r="114" spans="1:25" x14ac:dyDescent="0.2">
      <c r="A114" s="112" t="s">
        <v>39</v>
      </c>
      <c r="B114" s="113"/>
      <c r="C114" s="113"/>
      <c r="D114" s="113"/>
      <c r="E114" s="113"/>
      <c r="F114" s="113"/>
      <c r="G114" s="113"/>
      <c r="H114" s="113"/>
      <c r="I114" s="113"/>
      <c r="J114" s="113"/>
      <c r="K114" s="113"/>
      <c r="L114" s="113"/>
      <c r="M114" s="113"/>
      <c r="N114" s="113"/>
      <c r="O114" s="113"/>
      <c r="P114" s="113"/>
      <c r="Q114" s="113"/>
      <c r="R114" s="113"/>
      <c r="S114" s="113"/>
      <c r="T114" s="114"/>
    </row>
    <row r="115" spans="1:25" x14ac:dyDescent="0.2">
      <c r="A115" s="115"/>
      <c r="B115" s="97"/>
      <c r="C115" s="97"/>
      <c r="D115" s="97"/>
      <c r="E115" s="97"/>
      <c r="F115" s="97"/>
      <c r="G115" s="97"/>
      <c r="H115" s="97"/>
      <c r="I115" s="97"/>
      <c r="J115" s="97"/>
      <c r="K115" s="97"/>
      <c r="L115" s="97"/>
      <c r="M115" s="97"/>
      <c r="N115" s="97"/>
      <c r="O115" s="97"/>
      <c r="P115" s="97"/>
      <c r="Q115" s="97"/>
      <c r="R115" s="97"/>
      <c r="S115" s="97"/>
      <c r="T115" s="116"/>
    </row>
    <row r="116" spans="1:25" x14ac:dyDescent="0.2">
      <c r="A116" s="124" t="s">
        <v>23</v>
      </c>
      <c r="B116" s="112" t="s">
        <v>22</v>
      </c>
      <c r="C116" s="113"/>
      <c r="D116" s="113"/>
      <c r="E116" s="113"/>
      <c r="F116" s="113"/>
      <c r="G116" s="113"/>
      <c r="H116" s="113"/>
      <c r="I116" s="114"/>
      <c r="J116" s="102" t="s">
        <v>34</v>
      </c>
      <c r="K116" s="105" t="s">
        <v>20</v>
      </c>
      <c r="L116" s="106"/>
      <c r="M116" s="107"/>
      <c r="N116" s="105" t="s">
        <v>35</v>
      </c>
      <c r="O116" s="106"/>
      <c r="P116" s="107"/>
      <c r="Q116" s="111" t="s">
        <v>19</v>
      </c>
      <c r="R116" s="111"/>
      <c r="S116" s="111"/>
      <c r="T116" s="111" t="s">
        <v>18</v>
      </c>
    </row>
    <row r="117" spans="1:25" x14ac:dyDescent="0.2">
      <c r="A117" s="125"/>
      <c r="B117" s="115"/>
      <c r="C117" s="97"/>
      <c r="D117" s="97"/>
      <c r="E117" s="97"/>
      <c r="F117" s="97"/>
      <c r="G117" s="97"/>
      <c r="H117" s="97"/>
      <c r="I117" s="116"/>
      <c r="J117" s="103"/>
      <c r="K117" s="108"/>
      <c r="L117" s="109"/>
      <c r="M117" s="110"/>
      <c r="N117" s="108"/>
      <c r="O117" s="109"/>
      <c r="P117" s="110"/>
      <c r="Q117" s="111"/>
      <c r="R117" s="111"/>
      <c r="S117" s="111"/>
      <c r="T117" s="111"/>
    </row>
    <row r="118" spans="1:25" x14ac:dyDescent="0.2">
      <c r="A118" s="126"/>
      <c r="B118" s="117"/>
      <c r="C118" s="118"/>
      <c r="D118" s="118"/>
      <c r="E118" s="118"/>
      <c r="F118" s="118"/>
      <c r="G118" s="118"/>
      <c r="H118" s="118"/>
      <c r="I118" s="119"/>
      <c r="J118" s="104"/>
      <c r="K118" s="3" t="s">
        <v>24</v>
      </c>
      <c r="L118" s="3" t="s">
        <v>25</v>
      </c>
      <c r="M118" s="3" t="s">
        <v>26</v>
      </c>
      <c r="N118" s="3" t="s">
        <v>30</v>
      </c>
      <c r="O118" s="3" t="s">
        <v>5</v>
      </c>
      <c r="P118" s="3" t="s">
        <v>27</v>
      </c>
      <c r="Q118" s="3" t="s">
        <v>28</v>
      </c>
      <c r="R118" s="3" t="s">
        <v>24</v>
      </c>
      <c r="S118" s="3" t="s">
        <v>29</v>
      </c>
      <c r="T118" s="111"/>
    </row>
    <row r="119" spans="1:25" ht="28.35" customHeight="1" x14ac:dyDescent="0.2">
      <c r="A119" s="55" t="s">
        <v>180</v>
      </c>
      <c r="B119" s="130" t="s">
        <v>181</v>
      </c>
      <c r="C119" s="131"/>
      <c r="D119" s="131"/>
      <c r="E119" s="131"/>
      <c r="F119" s="131"/>
      <c r="G119" s="131"/>
      <c r="H119" s="131"/>
      <c r="I119" s="132"/>
      <c r="J119" s="12">
        <v>7</v>
      </c>
      <c r="K119" s="12">
        <v>2</v>
      </c>
      <c r="L119" s="12">
        <v>1</v>
      </c>
      <c r="M119" s="12">
        <v>0</v>
      </c>
      <c r="N119" s="7">
        <f>K119+L119+M119</f>
        <v>3</v>
      </c>
      <c r="O119" s="8">
        <f>P119-N119</f>
        <v>12</v>
      </c>
      <c r="P119" s="8">
        <f>ROUND(PRODUCT(J119,25)/12,0)</f>
        <v>15</v>
      </c>
      <c r="Q119" s="56" t="s">
        <v>28</v>
      </c>
      <c r="R119" s="12"/>
      <c r="S119" s="12"/>
      <c r="T119" s="12" t="s">
        <v>90</v>
      </c>
      <c r="U119" s="121" t="str">
        <f>IF(J124&gt;=30,"Corect","Sunt necesare cel puțin 30 de credite")</f>
        <v>Corect</v>
      </c>
      <c r="V119" s="122"/>
      <c r="W119" s="122"/>
    </row>
    <row r="120" spans="1:25" ht="28.35" customHeight="1" x14ac:dyDescent="0.2">
      <c r="A120" s="55" t="s">
        <v>182</v>
      </c>
      <c r="B120" s="130" t="s">
        <v>183</v>
      </c>
      <c r="C120" s="131"/>
      <c r="D120" s="131"/>
      <c r="E120" s="131"/>
      <c r="F120" s="131"/>
      <c r="G120" s="131"/>
      <c r="H120" s="131"/>
      <c r="I120" s="132"/>
      <c r="J120" s="12">
        <v>6</v>
      </c>
      <c r="K120" s="12">
        <v>2</v>
      </c>
      <c r="L120" s="12">
        <v>1</v>
      </c>
      <c r="M120" s="12">
        <v>0</v>
      </c>
      <c r="N120" s="7">
        <f t="shared" ref="N120:N122" si="20">K120+L120+M120</f>
        <v>3</v>
      </c>
      <c r="O120" s="8">
        <f t="shared" ref="O120:O122" si="21">P120-N120</f>
        <v>10</v>
      </c>
      <c r="P120" s="8">
        <f t="shared" ref="P120:P123" si="22">ROUND(PRODUCT(J120,25)/12,0)</f>
        <v>13</v>
      </c>
      <c r="Q120" s="56" t="s">
        <v>28</v>
      </c>
      <c r="R120" s="12"/>
      <c r="S120" s="12"/>
      <c r="T120" s="12" t="s">
        <v>91</v>
      </c>
    </row>
    <row r="121" spans="1:25" ht="19.7" customHeight="1" x14ac:dyDescent="0.2">
      <c r="A121" s="55" t="s">
        <v>184</v>
      </c>
      <c r="B121" s="130" t="s">
        <v>185</v>
      </c>
      <c r="C121" s="131"/>
      <c r="D121" s="131"/>
      <c r="E121" s="131"/>
      <c r="F121" s="131"/>
      <c r="G121" s="131"/>
      <c r="H121" s="131"/>
      <c r="I121" s="132"/>
      <c r="J121" s="12">
        <v>6</v>
      </c>
      <c r="K121" s="12">
        <v>0</v>
      </c>
      <c r="L121" s="12">
        <v>0</v>
      </c>
      <c r="M121" s="12">
        <v>2</v>
      </c>
      <c r="N121" s="7">
        <f t="shared" si="20"/>
        <v>2</v>
      </c>
      <c r="O121" s="8">
        <f t="shared" si="21"/>
        <v>11</v>
      </c>
      <c r="P121" s="8">
        <f t="shared" si="22"/>
        <v>13</v>
      </c>
      <c r="Q121" s="56"/>
      <c r="R121" s="12" t="s">
        <v>24</v>
      </c>
      <c r="S121" s="12"/>
      <c r="T121" s="12" t="s">
        <v>91</v>
      </c>
    </row>
    <row r="122" spans="1:25" ht="28.35" customHeight="1" x14ac:dyDescent="0.2">
      <c r="A122" s="55" t="s">
        <v>186</v>
      </c>
      <c r="B122" s="130" t="s">
        <v>187</v>
      </c>
      <c r="C122" s="131"/>
      <c r="D122" s="131"/>
      <c r="E122" s="131"/>
      <c r="F122" s="131"/>
      <c r="G122" s="131"/>
      <c r="H122" s="131"/>
      <c r="I122" s="132"/>
      <c r="J122" s="12">
        <v>6</v>
      </c>
      <c r="K122" s="12">
        <v>0</v>
      </c>
      <c r="L122" s="12">
        <v>0</v>
      </c>
      <c r="M122" s="12">
        <v>3</v>
      </c>
      <c r="N122" s="7">
        <f t="shared" si="20"/>
        <v>3</v>
      </c>
      <c r="O122" s="8">
        <f t="shared" si="21"/>
        <v>10</v>
      </c>
      <c r="P122" s="8">
        <f t="shared" si="22"/>
        <v>13</v>
      </c>
      <c r="Q122" s="56"/>
      <c r="R122" s="12"/>
      <c r="S122" s="12" t="s">
        <v>29</v>
      </c>
      <c r="T122" s="12" t="s">
        <v>90</v>
      </c>
    </row>
    <row r="123" spans="1:25" ht="19.7" customHeight="1" x14ac:dyDescent="0.2">
      <c r="A123" s="57" t="s">
        <v>188</v>
      </c>
      <c r="B123" s="130" t="s">
        <v>189</v>
      </c>
      <c r="C123" s="131"/>
      <c r="D123" s="131"/>
      <c r="E123" s="131"/>
      <c r="F123" s="131"/>
      <c r="G123" s="131"/>
      <c r="H123" s="131"/>
      <c r="I123" s="132"/>
      <c r="J123" s="12">
        <v>5</v>
      </c>
      <c r="K123" s="12">
        <v>2</v>
      </c>
      <c r="L123" s="12">
        <v>1</v>
      </c>
      <c r="M123" s="12">
        <v>0</v>
      </c>
      <c r="N123" s="7">
        <f>K123+L123+M123</f>
        <v>3</v>
      </c>
      <c r="O123" s="8">
        <f>P123-N123</f>
        <v>7</v>
      </c>
      <c r="P123" s="8">
        <f t="shared" si="22"/>
        <v>10</v>
      </c>
      <c r="Q123" s="56" t="s">
        <v>28</v>
      </c>
      <c r="R123" s="12"/>
      <c r="S123" s="12"/>
      <c r="T123" s="12" t="s">
        <v>91</v>
      </c>
    </row>
    <row r="124" spans="1:25" x14ac:dyDescent="0.2">
      <c r="A124" s="9" t="s">
        <v>21</v>
      </c>
      <c r="B124" s="127"/>
      <c r="C124" s="128"/>
      <c r="D124" s="128"/>
      <c r="E124" s="128"/>
      <c r="F124" s="128"/>
      <c r="G124" s="128"/>
      <c r="H124" s="128"/>
      <c r="I124" s="129"/>
      <c r="J124" s="9">
        <f t="shared" ref="J124:P124" si="23">SUM(J119:J123)</f>
        <v>30</v>
      </c>
      <c r="K124" s="9">
        <f t="shared" si="23"/>
        <v>6</v>
      </c>
      <c r="L124" s="9">
        <f t="shared" si="23"/>
        <v>3</v>
      </c>
      <c r="M124" s="9">
        <f t="shared" si="23"/>
        <v>5</v>
      </c>
      <c r="N124" s="9">
        <f t="shared" si="23"/>
        <v>14</v>
      </c>
      <c r="O124" s="9">
        <f t="shared" si="23"/>
        <v>50</v>
      </c>
      <c r="P124" s="9">
        <f t="shared" si="23"/>
        <v>64</v>
      </c>
      <c r="Q124" s="9">
        <f>COUNTIF(Q119:Q123,"E")</f>
        <v>3</v>
      </c>
      <c r="R124" s="9">
        <f>COUNTIF(R119:R123,"C")</f>
        <v>1</v>
      </c>
      <c r="S124" s="9">
        <f>COUNTIF(S119:S123,"VP")</f>
        <v>1</v>
      </c>
      <c r="T124" s="32">
        <f>COUNTA(T119:T123)</f>
        <v>5</v>
      </c>
      <c r="U124" s="263" t="str">
        <f>IF(Q124&gt;=SUM(R124:S124),"Corect","E trebuie să fie cel puțin egal cu C+VP")</f>
        <v>Corect</v>
      </c>
      <c r="V124" s="264"/>
      <c r="W124" s="264"/>
    </row>
    <row r="125" spans="1:25" x14ac:dyDescent="0.2">
      <c r="V125" s="38"/>
      <c r="W125" s="38"/>
    </row>
    <row r="126" spans="1:25" x14ac:dyDescent="0.2">
      <c r="B126" s="4"/>
      <c r="C126" s="4"/>
      <c r="D126" s="4"/>
      <c r="E126" s="4"/>
      <c r="F126" s="4"/>
      <c r="G126" s="4"/>
      <c r="M126" s="4"/>
      <c r="N126" s="4"/>
      <c r="O126" s="4"/>
      <c r="P126" s="4"/>
      <c r="Q126" s="4"/>
      <c r="R126" s="4"/>
      <c r="S126" s="4"/>
    </row>
    <row r="127" spans="1:25" x14ac:dyDescent="0.2">
      <c r="A127" s="112" t="s">
        <v>40</v>
      </c>
      <c r="B127" s="113"/>
      <c r="C127" s="113"/>
      <c r="D127" s="113"/>
      <c r="E127" s="113"/>
      <c r="F127" s="113"/>
      <c r="G127" s="113"/>
      <c r="H127" s="113"/>
      <c r="I127" s="113"/>
      <c r="J127" s="113"/>
      <c r="K127" s="113"/>
      <c r="L127" s="113"/>
      <c r="M127" s="113"/>
      <c r="N127" s="113"/>
      <c r="O127" s="113"/>
      <c r="P127" s="113"/>
      <c r="Q127" s="113"/>
      <c r="R127" s="113"/>
      <c r="S127" s="113"/>
      <c r="T127" s="114"/>
      <c r="U127" s="2"/>
      <c r="V127" s="2"/>
      <c r="W127" s="2"/>
      <c r="X127" s="2"/>
      <c r="Y127" s="2"/>
    </row>
    <row r="128" spans="1:25" x14ac:dyDescent="0.2">
      <c r="A128" s="117"/>
      <c r="B128" s="118"/>
      <c r="C128" s="118"/>
      <c r="D128" s="118"/>
      <c r="E128" s="118"/>
      <c r="F128" s="118"/>
      <c r="G128" s="118"/>
      <c r="H128" s="118"/>
      <c r="I128" s="118"/>
      <c r="J128" s="118"/>
      <c r="K128" s="118"/>
      <c r="L128" s="118"/>
      <c r="M128" s="118"/>
      <c r="N128" s="118"/>
      <c r="O128" s="118"/>
      <c r="P128" s="118"/>
      <c r="Q128" s="118"/>
      <c r="R128" s="118"/>
      <c r="S128" s="118"/>
      <c r="T128" s="119"/>
      <c r="U128" s="2"/>
      <c r="V128" s="2"/>
      <c r="W128" s="2"/>
      <c r="X128" s="2"/>
      <c r="Y128" s="2"/>
    </row>
    <row r="129" spans="1:25" x14ac:dyDescent="0.2">
      <c r="A129" s="234" t="s">
        <v>23</v>
      </c>
      <c r="B129" s="112" t="s">
        <v>22</v>
      </c>
      <c r="C129" s="113"/>
      <c r="D129" s="113"/>
      <c r="E129" s="113"/>
      <c r="F129" s="113"/>
      <c r="G129" s="113"/>
      <c r="H129" s="113"/>
      <c r="I129" s="114"/>
      <c r="J129" s="111" t="s">
        <v>34</v>
      </c>
      <c r="K129" s="105" t="s">
        <v>20</v>
      </c>
      <c r="L129" s="106"/>
      <c r="M129" s="107"/>
      <c r="N129" s="105" t="s">
        <v>35</v>
      </c>
      <c r="O129" s="106"/>
      <c r="P129" s="107"/>
      <c r="Q129" s="105" t="s">
        <v>19</v>
      </c>
      <c r="R129" s="106"/>
      <c r="S129" s="107"/>
      <c r="T129" s="111" t="s">
        <v>18</v>
      </c>
      <c r="U129" s="2"/>
      <c r="V129" s="2"/>
      <c r="W129" s="2"/>
      <c r="X129" s="2"/>
      <c r="Y129" s="2"/>
    </row>
    <row r="130" spans="1:25" x14ac:dyDescent="0.2">
      <c r="A130" s="234"/>
      <c r="B130" s="115"/>
      <c r="C130" s="97"/>
      <c r="D130" s="97"/>
      <c r="E130" s="97"/>
      <c r="F130" s="97"/>
      <c r="G130" s="97"/>
      <c r="H130" s="97"/>
      <c r="I130" s="116"/>
      <c r="J130" s="111"/>
      <c r="K130" s="108"/>
      <c r="L130" s="109"/>
      <c r="M130" s="110"/>
      <c r="N130" s="108"/>
      <c r="O130" s="109"/>
      <c r="P130" s="110"/>
      <c r="Q130" s="108"/>
      <c r="R130" s="109"/>
      <c r="S130" s="110"/>
      <c r="T130" s="111"/>
      <c r="U130" s="2"/>
      <c r="V130" s="2"/>
      <c r="W130" s="2"/>
      <c r="X130" s="2"/>
      <c r="Y130" s="2"/>
    </row>
    <row r="131" spans="1:25" x14ac:dyDescent="0.2">
      <c r="A131" s="234"/>
      <c r="B131" s="117"/>
      <c r="C131" s="118"/>
      <c r="D131" s="118"/>
      <c r="E131" s="118"/>
      <c r="F131" s="118"/>
      <c r="G131" s="118"/>
      <c r="H131" s="118"/>
      <c r="I131" s="119"/>
      <c r="J131" s="111"/>
      <c r="K131" s="3" t="s">
        <v>24</v>
      </c>
      <c r="L131" s="3" t="s">
        <v>25</v>
      </c>
      <c r="M131" s="3" t="s">
        <v>26</v>
      </c>
      <c r="N131" s="3" t="s">
        <v>30</v>
      </c>
      <c r="O131" s="3" t="s">
        <v>5</v>
      </c>
      <c r="P131" s="3" t="s">
        <v>27</v>
      </c>
      <c r="Q131" s="3" t="s">
        <v>28</v>
      </c>
      <c r="R131" s="3" t="s">
        <v>24</v>
      </c>
      <c r="S131" s="3" t="s">
        <v>29</v>
      </c>
      <c r="T131" s="111"/>
      <c r="U131" s="2"/>
      <c r="V131" s="2"/>
      <c r="W131" s="2"/>
      <c r="X131" s="2"/>
      <c r="Y131" s="2"/>
    </row>
    <row r="132" spans="1:25" x14ac:dyDescent="0.2">
      <c r="A132" s="71" t="s">
        <v>154</v>
      </c>
      <c r="B132" s="234" t="s">
        <v>60</v>
      </c>
      <c r="C132" s="234"/>
      <c r="D132" s="234"/>
      <c r="E132" s="234"/>
      <c r="F132" s="234"/>
      <c r="G132" s="234"/>
      <c r="H132" s="234"/>
      <c r="I132" s="234"/>
      <c r="J132" s="234"/>
      <c r="K132" s="234"/>
      <c r="L132" s="234"/>
      <c r="M132" s="234"/>
      <c r="N132" s="234"/>
      <c r="O132" s="234"/>
      <c r="P132" s="234"/>
      <c r="Q132" s="234"/>
      <c r="R132" s="234"/>
      <c r="S132" s="234"/>
      <c r="T132" s="234"/>
      <c r="U132" s="65" t="s">
        <v>235</v>
      </c>
      <c r="V132" s="63"/>
      <c r="W132" s="63"/>
      <c r="X132" s="2"/>
      <c r="Y132" s="2"/>
    </row>
    <row r="133" spans="1:25" ht="28.35" customHeight="1" x14ac:dyDescent="0.2">
      <c r="A133" s="59" t="s">
        <v>190</v>
      </c>
      <c r="B133" s="216" t="s">
        <v>191</v>
      </c>
      <c r="C133" s="131"/>
      <c r="D133" s="131"/>
      <c r="E133" s="131"/>
      <c r="F133" s="131"/>
      <c r="G133" s="131"/>
      <c r="H133" s="131"/>
      <c r="I133" s="131"/>
      <c r="J133" s="54">
        <v>5</v>
      </c>
      <c r="K133" s="54">
        <v>2</v>
      </c>
      <c r="L133" s="54">
        <v>1</v>
      </c>
      <c r="M133" s="54">
        <v>0</v>
      </c>
      <c r="N133" s="8">
        <f>K133+L133+M133</f>
        <v>3</v>
      </c>
      <c r="O133" s="8">
        <f>P133-N133</f>
        <v>6</v>
      </c>
      <c r="P133" s="8">
        <f>ROUND(PRODUCT(J133,25)/14,0)</f>
        <v>9</v>
      </c>
      <c r="Q133" s="54" t="s">
        <v>28</v>
      </c>
      <c r="R133" s="54"/>
      <c r="S133" s="54"/>
      <c r="T133" s="12" t="s">
        <v>91</v>
      </c>
      <c r="U133" s="2"/>
      <c r="V133" s="2"/>
      <c r="W133" s="2"/>
      <c r="X133" s="2"/>
      <c r="Y133" s="2"/>
    </row>
    <row r="134" spans="1:25" ht="19.7" customHeight="1" x14ac:dyDescent="0.2">
      <c r="A134" s="60"/>
      <c r="B134" s="215" t="s">
        <v>192</v>
      </c>
      <c r="C134" s="131"/>
      <c r="D134" s="131"/>
      <c r="E134" s="131"/>
      <c r="F134" s="131"/>
      <c r="G134" s="131"/>
      <c r="H134" s="131"/>
      <c r="I134" s="132"/>
      <c r="J134" s="54">
        <v>5</v>
      </c>
      <c r="K134" s="54">
        <v>2</v>
      </c>
      <c r="L134" s="54">
        <v>1</v>
      </c>
      <c r="M134" s="54">
        <v>0</v>
      </c>
      <c r="N134" s="8">
        <f t="shared" ref="N134:N140" si="24">K134+L134+M134</f>
        <v>3</v>
      </c>
      <c r="O134" s="8">
        <f t="shared" ref="O134:O140" si="25">P134-N134</f>
        <v>6</v>
      </c>
      <c r="P134" s="8">
        <f t="shared" ref="P134:P140" si="26">ROUND(PRODUCT(J134,25)/14,0)</f>
        <v>9</v>
      </c>
      <c r="Q134" s="11"/>
      <c r="R134" s="5"/>
      <c r="S134" s="12"/>
      <c r="T134" s="5"/>
    </row>
    <row r="135" spans="1:25" x14ac:dyDescent="0.2">
      <c r="A135" s="71" t="s">
        <v>166</v>
      </c>
      <c r="B135" s="239" t="s">
        <v>61</v>
      </c>
      <c r="C135" s="239"/>
      <c r="D135" s="239"/>
      <c r="E135" s="239"/>
      <c r="F135" s="239"/>
      <c r="G135" s="239"/>
      <c r="H135" s="239"/>
      <c r="I135" s="239"/>
      <c r="J135" s="239"/>
      <c r="K135" s="239"/>
      <c r="L135" s="239"/>
      <c r="M135" s="239"/>
      <c r="N135" s="239"/>
      <c r="O135" s="239"/>
      <c r="P135" s="239"/>
      <c r="Q135" s="239"/>
      <c r="R135" s="239"/>
      <c r="S135" s="239"/>
      <c r="T135" s="239"/>
      <c r="U135" s="20"/>
      <c r="V135" s="20"/>
      <c r="W135" s="20"/>
      <c r="X135" s="20"/>
      <c r="Y135" s="20"/>
    </row>
    <row r="136" spans="1:25" ht="28.35" customHeight="1" x14ac:dyDescent="0.2">
      <c r="A136" s="59" t="s">
        <v>193</v>
      </c>
      <c r="B136" s="216" t="s">
        <v>194</v>
      </c>
      <c r="C136" s="131"/>
      <c r="D136" s="131"/>
      <c r="E136" s="131"/>
      <c r="F136" s="131"/>
      <c r="G136" s="131"/>
      <c r="H136" s="131"/>
      <c r="I136" s="132"/>
      <c r="J136" s="54">
        <v>5</v>
      </c>
      <c r="K136" s="54">
        <v>2</v>
      </c>
      <c r="L136" s="54">
        <v>1</v>
      </c>
      <c r="M136" s="54">
        <v>0</v>
      </c>
      <c r="N136" s="8">
        <f t="shared" si="24"/>
        <v>3</v>
      </c>
      <c r="O136" s="8">
        <f t="shared" si="25"/>
        <v>6</v>
      </c>
      <c r="P136" s="8">
        <f t="shared" si="26"/>
        <v>9</v>
      </c>
      <c r="Q136" s="54" t="s">
        <v>28</v>
      </c>
      <c r="R136" s="54"/>
      <c r="S136" s="54"/>
      <c r="T136" s="12" t="s">
        <v>91</v>
      </c>
      <c r="U136" s="20"/>
      <c r="V136" s="20"/>
      <c r="W136" s="20"/>
      <c r="X136" s="20"/>
      <c r="Y136" s="20"/>
    </row>
    <row r="137" spans="1:25" ht="19.7" customHeight="1" x14ac:dyDescent="0.2">
      <c r="A137" s="60"/>
      <c r="B137" s="215" t="s">
        <v>192</v>
      </c>
      <c r="C137" s="131"/>
      <c r="D137" s="131"/>
      <c r="E137" s="131"/>
      <c r="F137" s="131"/>
      <c r="G137" s="131"/>
      <c r="H137" s="131"/>
      <c r="I137" s="132"/>
      <c r="J137" s="54">
        <v>5</v>
      </c>
      <c r="K137" s="54">
        <v>2</v>
      </c>
      <c r="L137" s="54">
        <v>1</v>
      </c>
      <c r="M137" s="54">
        <v>0</v>
      </c>
      <c r="N137" s="8">
        <f>K137+L137+M137</f>
        <v>3</v>
      </c>
      <c r="O137" s="8">
        <f>P137-N137</f>
        <v>6</v>
      </c>
      <c r="P137" s="8">
        <f>ROUND(PRODUCT(J137,25)/14,0)</f>
        <v>9</v>
      </c>
      <c r="Q137" s="11"/>
      <c r="R137" s="5"/>
      <c r="S137" s="12"/>
      <c r="T137" s="5"/>
      <c r="U137" s="20"/>
      <c r="V137" s="20"/>
      <c r="W137" s="20"/>
      <c r="X137" s="20"/>
      <c r="Y137" s="20"/>
    </row>
    <row r="138" spans="1:25" x14ac:dyDescent="0.2">
      <c r="A138" s="72" t="s">
        <v>178</v>
      </c>
      <c r="B138" s="239" t="s">
        <v>62</v>
      </c>
      <c r="C138" s="239"/>
      <c r="D138" s="239"/>
      <c r="E138" s="239"/>
      <c r="F138" s="239"/>
      <c r="G138" s="239"/>
      <c r="H138" s="239"/>
      <c r="I138" s="239"/>
      <c r="J138" s="239"/>
      <c r="K138" s="239"/>
      <c r="L138" s="239"/>
      <c r="M138" s="239"/>
      <c r="N138" s="239"/>
      <c r="O138" s="239"/>
      <c r="P138" s="239"/>
      <c r="Q138" s="239"/>
      <c r="R138" s="239"/>
      <c r="S138" s="239"/>
      <c r="T138" s="239"/>
      <c r="U138" s="20"/>
      <c r="V138" s="20"/>
      <c r="W138" s="20"/>
      <c r="X138" s="20"/>
      <c r="Y138" s="20"/>
    </row>
    <row r="139" spans="1:25" ht="28.35" customHeight="1" x14ac:dyDescent="0.2">
      <c r="A139" s="59" t="s">
        <v>195</v>
      </c>
      <c r="B139" s="256" t="s">
        <v>196</v>
      </c>
      <c r="C139" s="257"/>
      <c r="D139" s="257"/>
      <c r="E139" s="257"/>
      <c r="F139" s="257"/>
      <c r="G139" s="257"/>
      <c r="H139" s="257"/>
      <c r="I139" s="258"/>
      <c r="J139" s="54">
        <v>5</v>
      </c>
      <c r="K139" s="54">
        <v>2</v>
      </c>
      <c r="L139" s="54">
        <v>1</v>
      </c>
      <c r="M139" s="54">
        <v>0</v>
      </c>
      <c r="N139" s="8">
        <f t="shared" si="24"/>
        <v>3</v>
      </c>
      <c r="O139" s="8">
        <f t="shared" si="25"/>
        <v>6</v>
      </c>
      <c r="P139" s="8">
        <f t="shared" si="26"/>
        <v>9</v>
      </c>
      <c r="Q139" s="54" t="s">
        <v>28</v>
      </c>
      <c r="R139" s="54"/>
      <c r="S139" s="54"/>
      <c r="T139" s="12" t="s">
        <v>91</v>
      </c>
      <c r="U139" s="20"/>
      <c r="V139" s="20"/>
      <c r="W139" s="20"/>
      <c r="X139" s="20"/>
      <c r="Y139" s="20"/>
    </row>
    <row r="140" spans="1:25" ht="19.7" customHeight="1" x14ac:dyDescent="0.2">
      <c r="A140" s="60"/>
      <c r="B140" s="215" t="s">
        <v>192</v>
      </c>
      <c r="C140" s="131"/>
      <c r="D140" s="131"/>
      <c r="E140" s="131"/>
      <c r="F140" s="131"/>
      <c r="G140" s="131"/>
      <c r="H140" s="131"/>
      <c r="I140" s="132"/>
      <c r="J140" s="54">
        <v>5</v>
      </c>
      <c r="K140" s="54">
        <v>2</v>
      </c>
      <c r="L140" s="54">
        <v>1</v>
      </c>
      <c r="M140" s="54">
        <v>0</v>
      </c>
      <c r="N140" s="8">
        <f t="shared" si="24"/>
        <v>3</v>
      </c>
      <c r="O140" s="8">
        <f t="shared" si="25"/>
        <v>6</v>
      </c>
      <c r="P140" s="8">
        <f t="shared" si="26"/>
        <v>9</v>
      </c>
      <c r="Q140" s="11"/>
      <c r="R140" s="5"/>
      <c r="S140" s="12"/>
      <c r="T140" s="5"/>
      <c r="U140" s="20"/>
      <c r="V140" s="20"/>
      <c r="W140" s="20"/>
      <c r="X140" s="20"/>
      <c r="Y140" s="20"/>
    </row>
    <row r="141" spans="1:25" x14ac:dyDescent="0.2">
      <c r="A141" s="71" t="s">
        <v>188</v>
      </c>
      <c r="B141" s="239" t="s">
        <v>63</v>
      </c>
      <c r="C141" s="239"/>
      <c r="D141" s="239"/>
      <c r="E141" s="239"/>
      <c r="F141" s="239"/>
      <c r="G141" s="239"/>
      <c r="H141" s="239"/>
      <c r="I141" s="239"/>
      <c r="J141" s="239"/>
      <c r="K141" s="239"/>
      <c r="L141" s="239"/>
      <c r="M141" s="239"/>
      <c r="N141" s="239"/>
      <c r="O141" s="239"/>
      <c r="P141" s="239"/>
      <c r="Q141" s="239"/>
      <c r="R141" s="239"/>
      <c r="S141" s="239"/>
      <c r="T141" s="239"/>
      <c r="U141" s="20"/>
      <c r="V141" s="21"/>
      <c r="W141" s="21"/>
      <c r="X141" s="21"/>
      <c r="Y141" s="21"/>
    </row>
    <row r="142" spans="1:25" ht="19.7" customHeight="1" x14ac:dyDescent="0.2">
      <c r="A142" s="59" t="s">
        <v>197</v>
      </c>
      <c r="B142" s="215" t="s">
        <v>198</v>
      </c>
      <c r="C142" s="131"/>
      <c r="D142" s="131"/>
      <c r="E142" s="131"/>
      <c r="F142" s="131"/>
      <c r="G142" s="131"/>
      <c r="H142" s="131"/>
      <c r="I142" s="132"/>
      <c r="J142" s="54">
        <v>5</v>
      </c>
      <c r="K142" s="54">
        <v>2</v>
      </c>
      <c r="L142" s="54">
        <v>1</v>
      </c>
      <c r="M142" s="54">
        <v>0</v>
      </c>
      <c r="N142" s="8">
        <f>K142+L142+M142</f>
        <v>3</v>
      </c>
      <c r="O142" s="8">
        <f>P142-N142</f>
        <v>7</v>
      </c>
      <c r="P142" s="8">
        <f>ROUND(PRODUCT(J142,25)/12,0)</f>
        <v>10</v>
      </c>
      <c r="Q142" s="66" t="s">
        <v>28</v>
      </c>
      <c r="R142" s="5"/>
      <c r="S142" s="12"/>
      <c r="T142" s="64" t="s">
        <v>91</v>
      </c>
      <c r="U142" s="65" t="s">
        <v>233</v>
      </c>
      <c r="V142" s="65"/>
      <c r="W142" s="65"/>
      <c r="X142" s="67"/>
      <c r="Y142" s="21"/>
    </row>
    <row r="143" spans="1:25" ht="42.6" customHeight="1" x14ac:dyDescent="0.2">
      <c r="A143" s="61" t="s">
        <v>199</v>
      </c>
      <c r="B143" s="216" t="s">
        <v>200</v>
      </c>
      <c r="C143" s="131"/>
      <c r="D143" s="131"/>
      <c r="E143" s="131"/>
      <c r="F143" s="131"/>
      <c r="G143" s="131"/>
      <c r="H143" s="131"/>
      <c r="I143" s="132"/>
      <c r="J143" s="54">
        <v>5</v>
      </c>
      <c r="K143" s="54">
        <v>2</v>
      </c>
      <c r="L143" s="54">
        <v>1</v>
      </c>
      <c r="M143" s="54">
        <v>0</v>
      </c>
      <c r="N143" s="8">
        <f>K143+L143+M143</f>
        <v>3</v>
      </c>
      <c r="O143" s="8">
        <f t="shared" ref="O143" si="27">P143-N143</f>
        <v>7</v>
      </c>
      <c r="P143" s="8">
        <f t="shared" ref="P143" si="28">ROUND(PRODUCT(J143,25)/12,0)</f>
        <v>10</v>
      </c>
      <c r="Q143" s="66" t="s">
        <v>28</v>
      </c>
      <c r="R143" s="5"/>
      <c r="S143" s="12"/>
      <c r="T143" s="64" t="s">
        <v>91</v>
      </c>
      <c r="U143" s="21"/>
      <c r="V143" s="21"/>
      <c r="W143" s="21"/>
      <c r="X143" s="21"/>
      <c r="Y143" s="21"/>
    </row>
    <row r="144" spans="1:25" x14ac:dyDescent="0.2">
      <c r="A144" s="260" t="s">
        <v>80</v>
      </c>
      <c r="B144" s="260"/>
      <c r="C144" s="260"/>
      <c r="D144" s="260"/>
      <c r="E144" s="260"/>
      <c r="F144" s="260"/>
      <c r="G144" s="260"/>
      <c r="H144" s="260"/>
      <c r="I144" s="260"/>
      <c r="J144" s="68">
        <f>SUM(J133,J136,J139,J142)</f>
        <v>20</v>
      </c>
      <c r="K144" s="68">
        <f t="shared" ref="K144:P144" si="29">SUM(K133,K136,K139,K142)</f>
        <v>8</v>
      </c>
      <c r="L144" s="68">
        <f t="shared" si="29"/>
        <v>4</v>
      </c>
      <c r="M144" s="68">
        <f t="shared" si="29"/>
        <v>0</v>
      </c>
      <c r="N144" s="68">
        <f t="shared" si="29"/>
        <v>12</v>
      </c>
      <c r="O144" s="68">
        <f t="shared" si="29"/>
        <v>25</v>
      </c>
      <c r="P144" s="68">
        <f t="shared" si="29"/>
        <v>37</v>
      </c>
      <c r="Q144" s="68">
        <f>COUNTIF(Q133,"E")+COUNTIF(Q136,"E")+COUNTIF(Q139,"E")+COUNTIF(Q142,"E")</f>
        <v>4</v>
      </c>
      <c r="R144" s="68">
        <f>COUNTIF(R133,"C")+COUNTIF(R136,"C")+COUNTIF(R139,"C")+COUNTIF(R142,"C")</f>
        <v>0</v>
      </c>
      <c r="S144" s="68">
        <f>COUNTIF(S133,"VP")+COUNTIF(S136,"VP")+COUNTIF(S139,"VP")+COUNTIF(S142,"VP")</f>
        <v>0</v>
      </c>
      <c r="T144" s="69">
        <f>COUNTA(T133,T136,T139,T142)</f>
        <v>4</v>
      </c>
      <c r="U144" s="70" t="s">
        <v>234</v>
      </c>
      <c r="V144" s="62"/>
      <c r="W144" s="22"/>
      <c r="X144" s="22"/>
      <c r="Y144" s="22"/>
    </row>
    <row r="145" spans="1:26" x14ac:dyDescent="0.2">
      <c r="A145" s="155" t="s">
        <v>42</v>
      </c>
      <c r="B145" s="155"/>
      <c r="C145" s="155"/>
      <c r="D145" s="155"/>
      <c r="E145" s="155"/>
      <c r="F145" s="155"/>
      <c r="G145" s="155"/>
      <c r="H145" s="155"/>
      <c r="I145" s="155"/>
      <c r="J145" s="155"/>
      <c r="K145" s="68">
        <f>SUM(K133,K136,K139)*14+SUM(K142)*12</f>
        <v>108</v>
      </c>
      <c r="L145" s="68">
        <f t="shared" ref="L145:P145" si="30">SUM(L133,L136,L139)*14+SUM(L142)*12</f>
        <v>54</v>
      </c>
      <c r="M145" s="68">
        <f t="shared" si="30"/>
        <v>0</v>
      </c>
      <c r="N145" s="68">
        <f t="shared" si="30"/>
        <v>162</v>
      </c>
      <c r="O145" s="68">
        <f t="shared" si="30"/>
        <v>336</v>
      </c>
      <c r="P145" s="68">
        <f t="shared" si="30"/>
        <v>498</v>
      </c>
      <c r="Q145" s="259"/>
      <c r="R145" s="259"/>
      <c r="S145" s="259"/>
      <c r="T145" s="259"/>
    </row>
    <row r="146" spans="1:26" x14ac:dyDescent="0.2">
      <c r="A146" s="155"/>
      <c r="B146" s="155"/>
      <c r="C146" s="155"/>
      <c r="D146" s="155"/>
      <c r="E146" s="155"/>
      <c r="F146" s="155"/>
      <c r="G146" s="155"/>
      <c r="H146" s="155"/>
      <c r="I146" s="155"/>
      <c r="J146" s="155"/>
      <c r="K146" s="180">
        <f>SUM(K145:M145)</f>
        <v>162</v>
      </c>
      <c r="L146" s="180"/>
      <c r="M146" s="180"/>
      <c r="N146" s="180">
        <f>SUM(N145:O145)</f>
        <v>498</v>
      </c>
      <c r="O146" s="180"/>
      <c r="P146" s="180"/>
      <c r="Q146" s="259"/>
      <c r="R146" s="259"/>
      <c r="S146" s="259"/>
      <c r="T146" s="259"/>
    </row>
    <row r="147" spans="1:26" x14ac:dyDescent="0.2">
      <c r="A147" s="219" t="s">
        <v>65</v>
      </c>
      <c r="B147" s="226"/>
      <c r="C147" s="226"/>
      <c r="D147" s="226"/>
      <c r="E147" s="226"/>
      <c r="F147" s="226"/>
      <c r="G147" s="226"/>
      <c r="H147" s="226"/>
      <c r="I147" s="226"/>
      <c r="J147" s="220"/>
      <c r="K147" s="201">
        <f>T144/SUM(T85,T99,T111,T124)</f>
        <v>0.18181818181818182</v>
      </c>
      <c r="L147" s="201"/>
      <c r="M147" s="201"/>
      <c r="N147" s="201"/>
      <c r="O147" s="201"/>
      <c r="P147" s="201"/>
      <c r="Q147" s="201"/>
      <c r="R147" s="201"/>
      <c r="S147" s="201"/>
      <c r="T147" s="201"/>
    </row>
    <row r="148" spans="1:26" x14ac:dyDescent="0.2">
      <c r="A148" s="227" t="s">
        <v>66</v>
      </c>
      <c r="B148" s="227"/>
      <c r="C148" s="227"/>
      <c r="D148" s="227"/>
      <c r="E148" s="227"/>
      <c r="F148" s="227"/>
      <c r="G148" s="227"/>
      <c r="H148" s="227"/>
      <c r="I148" s="227"/>
      <c r="J148" s="227"/>
      <c r="K148" s="201">
        <f>K146/(SUM(N85,N99,N111)*14+N124*12)</f>
        <v>0.19950738916256158</v>
      </c>
      <c r="L148" s="201"/>
      <c r="M148" s="201"/>
      <c r="N148" s="201"/>
      <c r="O148" s="201"/>
      <c r="P148" s="201"/>
      <c r="Q148" s="201"/>
      <c r="R148" s="201"/>
      <c r="S148" s="201"/>
      <c r="T148" s="201"/>
    </row>
    <row r="149" spans="1:26" x14ac:dyDescent="0.2">
      <c r="A149" s="112" t="s">
        <v>241</v>
      </c>
      <c r="B149" s="113"/>
      <c r="C149" s="113"/>
      <c r="D149" s="113"/>
      <c r="E149" s="113"/>
      <c r="F149" s="113"/>
      <c r="G149" s="113"/>
      <c r="H149" s="113"/>
      <c r="I149" s="113"/>
      <c r="J149" s="113"/>
      <c r="K149" s="113"/>
      <c r="L149" s="113"/>
      <c r="M149" s="113"/>
      <c r="N149" s="113"/>
      <c r="O149" s="113"/>
      <c r="P149" s="113"/>
      <c r="Q149" s="113"/>
      <c r="R149" s="113"/>
      <c r="S149" s="113"/>
      <c r="T149" s="114"/>
    </row>
    <row r="150" spans="1:26" x14ac:dyDescent="0.2">
      <c r="A150" s="117"/>
      <c r="B150" s="118"/>
      <c r="C150" s="118"/>
      <c r="D150" s="118"/>
      <c r="E150" s="118"/>
      <c r="F150" s="118"/>
      <c r="G150" s="118"/>
      <c r="H150" s="118"/>
      <c r="I150" s="118"/>
      <c r="J150" s="118"/>
      <c r="K150" s="118"/>
      <c r="L150" s="118"/>
      <c r="M150" s="118"/>
      <c r="N150" s="118"/>
      <c r="O150" s="118"/>
      <c r="P150" s="118"/>
      <c r="Q150" s="118"/>
      <c r="R150" s="118"/>
      <c r="S150" s="118"/>
      <c r="T150" s="119"/>
    </row>
    <row r="151" spans="1:26" x14ac:dyDescent="0.2">
      <c r="A151" s="234" t="s">
        <v>23</v>
      </c>
      <c r="B151" s="112" t="s">
        <v>22</v>
      </c>
      <c r="C151" s="113"/>
      <c r="D151" s="113"/>
      <c r="E151" s="113"/>
      <c r="F151" s="113"/>
      <c r="G151" s="113"/>
      <c r="H151" s="113"/>
      <c r="I151" s="114"/>
      <c r="J151" s="111" t="s">
        <v>34</v>
      </c>
      <c r="K151" s="105" t="s">
        <v>20</v>
      </c>
      <c r="L151" s="106"/>
      <c r="M151" s="107"/>
      <c r="N151" s="105" t="s">
        <v>35</v>
      </c>
      <c r="O151" s="106"/>
      <c r="P151" s="107"/>
      <c r="Q151" s="105" t="s">
        <v>19</v>
      </c>
      <c r="R151" s="106"/>
      <c r="S151" s="107"/>
      <c r="T151" s="111" t="s">
        <v>18</v>
      </c>
    </row>
    <row r="152" spans="1:26" x14ac:dyDescent="0.2">
      <c r="A152" s="234"/>
      <c r="B152" s="115"/>
      <c r="C152" s="97"/>
      <c r="D152" s="97"/>
      <c r="E152" s="97"/>
      <c r="F152" s="97"/>
      <c r="G152" s="97"/>
      <c r="H152" s="97"/>
      <c r="I152" s="116"/>
      <c r="J152" s="111"/>
      <c r="K152" s="108"/>
      <c r="L152" s="109"/>
      <c r="M152" s="110"/>
      <c r="N152" s="108"/>
      <c r="O152" s="109"/>
      <c r="P152" s="110"/>
      <c r="Q152" s="108"/>
      <c r="R152" s="109"/>
      <c r="S152" s="110"/>
      <c r="T152" s="111"/>
    </row>
    <row r="153" spans="1:26" x14ac:dyDescent="0.2">
      <c r="A153" s="234"/>
      <c r="B153" s="117"/>
      <c r="C153" s="118"/>
      <c r="D153" s="118"/>
      <c r="E153" s="118"/>
      <c r="F153" s="118"/>
      <c r="G153" s="118"/>
      <c r="H153" s="118"/>
      <c r="I153" s="119"/>
      <c r="J153" s="111"/>
      <c r="K153" s="3" t="s">
        <v>24</v>
      </c>
      <c r="L153" s="3" t="s">
        <v>25</v>
      </c>
      <c r="M153" s="3" t="s">
        <v>26</v>
      </c>
      <c r="N153" s="3" t="s">
        <v>30</v>
      </c>
      <c r="O153" s="3" t="s">
        <v>5</v>
      </c>
      <c r="P153" s="3" t="s">
        <v>27</v>
      </c>
      <c r="Q153" s="3" t="s">
        <v>28</v>
      </c>
      <c r="R153" s="3" t="s">
        <v>24</v>
      </c>
      <c r="S153" s="3" t="s">
        <v>29</v>
      </c>
      <c r="T153" s="111"/>
    </row>
    <row r="154" spans="1:26" x14ac:dyDescent="0.2">
      <c r="A154" s="234" t="s">
        <v>100</v>
      </c>
      <c r="B154" s="234"/>
      <c r="C154" s="234"/>
      <c r="D154" s="234"/>
      <c r="E154" s="234"/>
      <c r="F154" s="234"/>
      <c r="G154" s="234"/>
      <c r="H154" s="234"/>
      <c r="I154" s="234"/>
      <c r="J154" s="234"/>
      <c r="K154" s="234"/>
      <c r="L154" s="234"/>
      <c r="M154" s="234"/>
      <c r="N154" s="234"/>
      <c r="O154" s="234"/>
      <c r="P154" s="234"/>
      <c r="Q154" s="234"/>
      <c r="R154" s="234"/>
      <c r="S154" s="234"/>
      <c r="T154" s="234"/>
    </row>
    <row r="155" spans="1:26" ht="19.7" customHeight="1" x14ac:dyDescent="0.2">
      <c r="A155" s="30" t="s">
        <v>77</v>
      </c>
      <c r="B155" s="251" t="s">
        <v>81</v>
      </c>
      <c r="C155" s="251"/>
      <c r="D155" s="251"/>
      <c r="E155" s="251"/>
      <c r="F155" s="251"/>
      <c r="G155" s="251"/>
      <c r="H155" s="251"/>
      <c r="I155" s="251"/>
      <c r="J155" s="13">
        <v>3</v>
      </c>
      <c r="K155" s="13">
        <v>2</v>
      </c>
      <c r="L155" s="13">
        <v>0</v>
      </c>
      <c r="M155" s="13">
        <v>0</v>
      </c>
      <c r="N155" s="8">
        <f t="shared" ref="N155" si="31">K155+L155+M155</f>
        <v>2</v>
      </c>
      <c r="O155" s="8">
        <f t="shared" ref="O155" si="32">P155-N155</f>
        <v>3</v>
      </c>
      <c r="P155" s="8">
        <f t="shared" ref="P155" si="33">ROUND(PRODUCT(J155,25)/14,0)</f>
        <v>5</v>
      </c>
      <c r="Q155" s="11"/>
      <c r="R155" s="5"/>
      <c r="S155" s="12" t="s">
        <v>29</v>
      </c>
      <c r="T155" s="5" t="s">
        <v>33</v>
      </c>
    </row>
    <row r="156" spans="1:26" ht="15" customHeight="1" x14ac:dyDescent="0.2">
      <c r="A156" s="140" t="s">
        <v>78</v>
      </c>
      <c r="B156" s="142" t="s">
        <v>82</v>
      </c>
      <c r="C156" s="143"/>
      <c r="D156" s="143"/>
      <c r="E156" s="143"/>
      <c r="F156" s="143"/>
      <c r="G156" s="143"/>
      <c r="H156" s="143"/>
      <c r="I156" s="144"/>
      <c r="J156" s="148">
        <v>3</v>
      </c>
      <c r="K156" s="148">
        <v>2</v>
      </c>
      <c r="L156" s="148">
        <v>0</v>
      </c>
      <c r="M156" s="148">
        <v>0</v>
      </c>
      <c r="N156" s="235">
        <f>K156+L156+M156</f>
        <v>2</v>
      </c>
      <c r="O156" s="235">
        <f>P156-N156</f>
        <v>3</v>
      </c>
      <c r="P156" s="235">
        <f>ROUND(PRODUCT(J156,25)/14,0)</f>
        <v>5</v>
      </c>
      <c r="Q156" s="252"/>
      <c r="R156" s="150"/>
      <c r="S156" s="254" t="s">
        <v>29</v>
      </c>
      <c r="T156" s="150" t="s">
        <v>33</v>
      </c>
    </row>
    <row r="157" spans="1:26" x14ac:dyDescent="0.2">
      <c r="A157" s="141"/>
      <c r="B157" s="145"/>
      <c r="C157" s="146"/>
      <c r="D157" s="146"/>
      <c r="E157" s="146"/>
      <c r="F157" s="146"/>
      <c r="G157" s="146"/>
      <c r="H157" s="146"/>
      <c r="I157" s="147"/>
      <c r="J157" s="149"/>
      <c r="K157" s="149"/>
      <c r="L157" s="149"/>
      <c r="M157" s="149"/>
      <c r="N157" s="236"/>
      <c r="O157" s="236"/>
      <c r="P157" s="236"/>
      <c r="Q157" s="253"/>
      <c r="R157" s="151"/>
      <c r="S157" s="255"/>
      <c r="T157" s="151"/>
      <c r="U157" s="20"/>
      <c r="V157" s="20"/>
      <c r="W157" s="20"/>
      <c r="X157" s="20"/>
      <c r="Y157" s="20"/>
      <c r="Z157" s="20"/>
    </row>
    <row r="158" spans="1:26" x14ac:dyDescent="0.2">
      <c r="A158" s="155" t="s">
        <v>79</v>
      </c>
      <c r="B158" s="155"/>
      <c r="C158" s="155"/>
      <c r="D158" s="155"/>
      <c r="E158" s="155"/>
      <c r="F158" s="155"/>
      <c r="G158" s="155"/>
      <c r="H158" s="155"/>
      <c r="I158" s="155"/>
      <c r="J158" s="10">
        <f>SUM(J155:J157)</f>
        <v>6</v>
      </c>
      <c r="K158" s="10">
        <f t="shared" ref="K158:P158" si="34">SUM(K155:K157)</f>
        <v>4</v>
      </c>
      <c r="L158" s="10">
        <f t="shared" si="34"/>
        <v>0</v>
      </c>
      <c r="M158" s="10">
        <f t="shared" si="34"/>
        <v>0</v>
      </c>
      <c r="N158" s="10">
        <f t="shared" si="34"/>
        <v>4</v>
      </c>
      <c r="O158" s="10">
        <f t="shared" si="34"/>
        <v>6</v>
      </c>
      <c r="P158" s="10">
        <f t="shared" si="34"/>
        <v>10</v>
      </c>
      <c r="Q158" s="10">
        <f>COUNTIF(Q155:Q157,"E")</f>
        <v>0</v>
      </c>
      <c r="R158" s="10">
        <f>COUNTIF(R155:R157,"C")</f>
        <v>0</v>
      </c>
      <c r="S158" s="10">
        <f>COUNTIF(S155:S157,"VP")</f>
        <v>2</v>
      </c>
      <c r="T158" s="31">
        <f>COUNTA(T155:T157)</f>
        <v>2</v>
      </c>
    </row>
    <row r="159" spans="1:26" x14ac:dyDescent="0.2">
      <c r="A159" s="155" t="s">
        <v>42</v>
      </c>
      <c r="B159" s="155"/>
      <c r="C159" s="155"/>
      <c r="D159" s="155"/>
      <c r="E159" s="155"/>
      <c r="F159" s="155"/>
      <c r="G159" s="155"/>
      <c r="H159" s="155"/>
      <c r="I159" s="155"/>
      <c r="J159" s="155"/>
      <c r="K159" s="10">
        <f>SUM(K155:K157)*14</f>
        <v>56</v>
      </c>
      <c r="L159" s="10">
        <f t="shared" ref="L159:P159" si="35">SUM(L155:L157)*14</f>
        <v>0</v>
      </c>
      <c r="M159" s="10">
        <f t="shared" si="35"/>
        <v>0</v>
      </c>
      <c r="N159" s="10">
        <f t="shared" si="35"/>
        <v>56</v>
      </c>
      <c r="O159" s="10">
        <f t="shared" si="35"/>
        <v>84</v>
      </c>
      <c r="P159" s="10">
        <f t="shared" si="35"/>
        <v>140</v>
      </c>
      <c r="Q159" s="203"/>
      <c r="R159" s="203"/>
      <c r="S159" s="203"/>
      <c r="T159" s="203"/>
    </row>
    <row r="160" spans="1:26" x14ac:dyDescent="0.2">
      <c r="A160" s="155"/>
      <c r="B160" s="155"/>
      <c r="C160" s="155"/>
      <c r="D160" s="155"/>
      <c r="E160" s="155"/>
      <c r="F160" s="155"/>
      <c r="G160" s="155"/>
      <c r="H160" s="155"/>
      <c r="I160" s="155"/>
      <c r="J160" s="155"/>
      <c r="K160" s="180">
        <f>SUM(K159:M159)</f>
        <v>56</v>
      </c>
      <c r="L160" s="180"/>
      <c r="M160" s="180"/>
      <c r="N160" s="180">
        <f>SUM(N159:O159)</f>
        <v>140</v>
      </c>
      <c r="O160" s="180"/>
      <c r="P160" s="180"/>
      <c r="Q160" s="203"/>
      <c r="R160" s="203"/>
      <c r="S160" s="203"/>
      <c r="T160" s="203"/>
    </row>
    <row r="161" spans="1:20" ht="12.75" customHeight="1" x14ac:dyDescent="0.2">
      <c r="A161" s="219" t="s">
        <v>65</v>
      </c>
      <c r="B161" s="226"/>
      <c r="C161" s="226"/>
      <c r="D161" s="226"/>
      <c r="E161" s="226"/>
      <c r="F161" s="226"/>
      <c r="G161" s="226"/>
      <c r="H161" s="226"/>
      <c r="I161" s="226"/>
      <c r="J161" s="220"/>
      <c r="K161" s="223">
        <f>T158/SUM(T85,T99,T111,T124)</f>
        <v>9.0909090909090912E-2</v>
      </c>
      <c r="L161" s="224"/>
      <c r="M161" s="224"/>
      <c r="N161" s="224"/>
      <c r="O161" s="224"/>
      <c r="P161" s="224"/>
      <c r="Q161" s="224"/>
      <c r="R161" s="224"/>
      <c r="S161" s="224"/>
      <c r="T161" s="225"/>
    </row>
    <row r="162" spans="1:20" x14ac:dyDescent="0.2">
      <c r="A162" s="227" t="s">
        <v>66</v>
      </c>
      <c r="B162" s="227"/>
      <c r="C162" s="227"/>
      <c r="D162" s="227"/>
      <c r="E162" s="227"/>
      <c r="F162" s="227"/>
      <c r="G162" s="227"/>
      <c r="H162" s="227"/>
      <c r="I162" s="227"/>
      <c r="J162" s="227"/>
      <c r="K162" s="223">
        <f>K160/(SUM(N85,N99,N111)*14+N124*12)</f>
        <v>6.8965517241379309E-2</v>
      </c>
      <c r="L162" s="224"/>
      <c r="M162" s="224"/>
      <c r="N162" s="224"/>
      <c r="O162" s="224"/>
      <c r="P162" s="224"/>
      <c r="Q162" s="224"/>
      <c r="R162" s="224"/>
      <c r="S162" s="224"/>
      <c r="T162" s="225"/>
    </row>
    <row r="163" spans="1:20" x14ac:dyDescent="0.2">
      <c r="A163" s="249" t="s">
        <v>83</v>
      </c>
      <c r="B163" s="249"/>
      <c r="C163" s="249"/>
      <c r="D163" s="249"/>
      <c r="E163" s="249"/>
      <c r="F163" s="249"/>
      <c r="G163" s="249"/>
      <c r="H163" s="249"/>
      <c r="I163" s="249"/>
      <c r="J163" s="249"/>
      <c r="K163" s="249"/>
      <c r="L163" s="249"/>
      <c r="M163" s="249"/>
      <c r="N163" s="249"/>
      <c r="O163" s="249"/>
      <c r="P163" s="249"/>
      <c r="Q163" s="249"/>
      <c r="R163" s="249"/>
      <c r="S163" s="249"/>
      <c r="T163" s="249"/>
    </row>
    <row r="164" spans="1:20" x14ac:dyDescent="0.2">
      <c r="A164" s="250"/>
      <c r="B164" s="250"/>
      <c r="C164" s="250"/>
      <c r="D164" s="250"/>
      <c r="E164" s="250"/>
      <c r="F164" s="250"/>
      <c r="G164" s="250"/>
      <c r="H164" s="250"/>
      <c r="I164" s="250"/>
      <c r="J164" s="250"/>
      <c r="K164" s="250"/>
      <c r="L164" s="250"/>
      <c r="M164" s="250"/>
      <c r="N164" s="250"/>
      <c r="O164" s="250"/>
      <c r="P164" s="250"/>
      <c r="Q164" s="250"/>
      <c r="R164" s="250"/>
      <c r="S164" s="250"/>
      <c r="T164" s="250"/>
    </row>
    <row r="165" spans="1:20" x14ac:dyDescent="0.2">
      <c r="A165" s="250"/>
      <c r="B165" s="250"/>
      <c r="C165" s="250"/>
      <c r="D165" s="250"/>
      <c r="E165" s="250"/>
      <c r="F165" s="250"/>
      <c r="G165" s="250"/>
      <c r="H165" s="250"/>
      <c r="I165" s="250"/>
      <c r="J165" s="250"/>
      <c r="K165" s="250"/>
      <c r="L165" s="250"/>
      <c r="M165" s="250"/>
      <c r="N165" s="250"/>
      <c r="O165" s="250"/>
      <c r="P165" s="250"/>
      <c r="Q165" s="250"/>
      <c r="R165" s="250"/>
      <c r="S165" s="250"/>
      <c r="T165" s="250"/>
    </row>
    <row r="166" spans="1:20" x14ac:dyDescent="0.2">
      <c r="A166" s="250"/>
      <c r="B166" s="250"/>
      <c r="C166" s="250"/>
      <c r="D166" s="250"/>
      <c r="E166" s="250"/>
      <c r="F166" s="250"/>
      <c r="G166" s="250"/>
      <c r="H166" s="250"/>
      <c r="I166" s="250"/>
      <c r="J166" s="250"/>
      <c r="K166" s="250"/>
      <c r="L166" s="250"/>
      <c r="M166" s="250"/>
      <c r="N166" s="250"/>
      <c r="O166" s="250"/>
      <c r="P166" s="250"/>
      <c r="Q166" s="250"/>
      <c r="R166" s="250"/>
      <c r="S166" s="250"/>
      <c r="T166" s="250"/>
    </row>
    <row r="167" spans="1:20" x14ac:dyDescent="0.2">
      <c r="A167" s="26"/>
      <c r="B167" s="26"/>
      <c r="C167" s="26"/>
      <c r="D167" s="26"/>
      <c r="E167" s="26"/>
      <c r="F167" s="26"/>
      <c r="G167" s="26"/>
      <c r="H167" s="26"/>
      <c r="I167" s="26"/>
      <c r="J167" s="26"/>
      <c r="K167" s="27"/>
      <c r="L167" s="27"/>
      <c r="M167" s="27"/>
      <c r="N167" s="27"/>
      <c r="O167" s="27"/>
      <c r="P167" s="27"/>
      <c r="Q167" s="27"/>
      <c r="R167" s="27"/>
      <c r="S167" s="27"/>
      <c r="T167" s="27"/>
    </row>
    <row r="168" spans="1:20" x14ac:dyDescent="0.2">
      <c r="A168" s="26"/>
      <c r="B168" s="26"/>
      <c r="C168" s="26"/>
      <c r="D168" s="26"/>
      <c r="E168" s="26"/>
      <c r="F168" s="26"/>
      <c r="G168" s="26"/>
      <c r="H168" s="26"/>
      <c r="I168" s="26"/>
      <c r="J168" s="26"/>
      <c r="K168" s="27"/>
      <c r="L168" s="27"/>
      <c r="M168" s="27"/>
      <c r="N168" s="27"/>
      <c r="O168" s="27"/>
      <c r="P168" s="27"/>
      <c r="Q168" s="27"/>
      <c r="R168" s="27"/>
      <c r="S168" s="27"/>
      <c r="T168" s="27"/>
    </row>
    <row r="169" spans="1:20" x14ac:dyDescent="0.2">
      <c r="A169" s="26"/>
      <c r="B169" s="26"/>
      <c r="C169" s="26"/>
      <c r="D169" s="26"/>
      <c r="E169" s="26"/>
      <c r="F169" s="26"/>
      <c r="G169" s="26"/>
      <c r="H169" s="26"/>
      <c r="I169" s="26"/>
      <c r="J169" s="26"/>
      <c r="K169" s="27"/>
      <c r="L169" s="27"/>
      <c r="M169" s="27"/>
      <c r="N169" s="27"/>
      <c r="O169" s="27"/>
      <c r="P169" s="27"/>
      <c r="Q169" s="27"/>
      <c r="R169" s="27"/>
      <c r="S169" s="27"/>
      <c r="T169" s="27"/>
    </row>
    <row r="170" spans="1:20" x14ac:dyDescent="0.2">
      <c r="A170" s="26"/>
      <c r="B170" s="26"/>
      <c r="C170" s="26"/>
      <c r="D170" s="26"/>
      <c r="E170" s="26"/>
      <c r="F170" s="26"/>
      <c r="G170" s="26"/>
      <c r="H170" s="26"/>
      <c r="I170" s="26"/>
      <c r="J170" s="26"/>
      <c r="K170" s="27"/>
      <c r="L170" s="27"/>
      <c r="M170" s="27"/>
      <c r="N170" s="27"/>
      <c r="O170" s="27"/>
      <c r="P170" s="27"/>
      <c r="Q170" s="27"/>
      <c r="R170" s="27"/>
      <c r="S170" s="27"/>
      <c r="T170" s="27"/>
    </row>
    <row r="171" spans="1:20" x14ac:dyDescent="0.2">
      <c r="A171" s="241" t="s">
        <v>84</v>
      </c>
      <c r="B171" s="241"/>
      <c r="C171" s="241"/>
      <c r="D171" s="241"/>
      <c r="E171" s="241"/>
      <c r="F171" s="241"/>
      <c r="G171" s="241"/>
      <c r="H171" s="241"/>
      <c r="I171" s="241"/>
      <c r="J171" s="241"/>
      <c r="K171" s="241"/>
      <c r="L171" s="241"/>
      <c r="M171" s="241"/>
      <c r="N171" s="241"/>
      <c r="O171" s="241"/>
      <c r="P171" s="241"/>
      <c r="Q171" s="241"/>
      <c r="R171" s="241"/>
      <c r="S171" s="241"/>
      <c r="T171" s="241"/>
    </row>
    <row r="172" spans="1:20" x14ac:dyDescent="0.2">
      <c r="A172" s="242"/>
      <c r="B172" s="242"/>
      <c r="C172" s="242"/>
      <c r="D172" s="242"/>
      <c r="E172" s="242"/>
      <c r="F172" s="242"/>
      <c r="G172" s="242"/>
      <c r="H172" s="242"/>
      <c r="I172" s="242"/>
      <c r="J172" s="242"/>
      <c r="K172" s="242"/>
      <c r="L172" s="242"/>
      <c r="M172" s="242"/>
      <c r="N172" s="242"/>
      <c r="O172" s="242"/>
      <c r="P172" s="242"/>
      <c r="Q172" s="242"/>
      <c r="R172" s="242"/>
      <c r="S172" s="242"/>
      <c r="T172" s="242"/>
    </row>
    <row r="173" spans="1:20" x14ac:dyDescent="0.2">
      <c r="A173" s="243" t="s">
        <v>47</v>
      </c>
      <c r="B173" s="244"/>
      <c r="C173" s="244"/>
      <c r="D173" s="244"/>
      <c r="E173" s="244"/>
      <c r="F173" s="244"/>
      <c r="G173" s="244"/>
      <c r="H173" s="244"/>
      <c r="I173" s="244"/>
      <c r="J173" s="244"/>
      <c r="K173" s="244"/>
      <c r="L173" s="244"/>
      <c r="M173" s="244"/>
      <c r="N173" s="244"/>
      <c r="O173" s="244"/>
      <c r="P173" s="244"/>
      <c r="Q173" s="244"/>
      <c r="R173" s="244"/>
      <c r="S173" s="244"/>
      <c r="T173" s="245"/>
    </row>
    <row r="174" spans="1:20" x14ac:dyDescent="0.2">
      <c r="A174" s="246"/>
      <c r="B174" s="247"/>
      <c r="C174" s="247"/>
      <c r="D174" s="247"/>
      <c r="E174" s="247"/>
      <c r="F174" s="247"/>
      <c r="G174" s="247"/>
      <c r="H174" s="247"/>
      <c r="I174" s="247"/>
      <c r="J174" s="247"/>
      <c r="K174" s="247"/>
      <c r="L174" s="247"/>
      <c r="M174" s="247"/>
      <c r="N174" s="247"/>
      <c r="O174" s="247"/>
      <c r="P174" s="247"/>
      <c r="Q174" s="247"/>
      <c r="R174" s="247"/>
      <c r="S174" s="247"/>
      <c r="T174" s="248"/>
    </row>
    <row r="175" spans="1:20" x14ac:dyDescent="0.2">
      <c r="A175" s="153" t="s">
        <v>23</v>
      </c>
      <c r="B175" s="153" t="s">
        <v>22</v>
      </c>
      <c r="C175" s="153"/>
      <c r="D175" s="153"/>
      <c r="E175" s="153"/>
      <c r="F175" s="153"/>
      <c r="G175" s="153"/>
      <c r="H175" s="153"/>
      <c r="I175" s="153"/>
      <c r="J175" s="154" t="s">
        <v>34</v>
      </c>
      <c r="K175" s="181" t="s">
        <v>20</v>
      </c>
      <c r="L175" s="182"/>
      <c r="M175" s="183"/>
      <c r="N175" s="181" t="s">
        <v>35</v>
      </c>
      <c r="O175" s="182"/>
      <c r="P175" s="183"/>
      <c r="Q175" s="181" t="s">
        <v>19</v>
      </c>
      <c r="R175" s="182"/>
      <c r="S175" s="183"/>
      <c r="T175" s="154" t="s">
        <v>18</v>
      </c>
    </row>
    <row r="176" spans="1:20" x14ac:dyDescent="0.2">
      <c r="A176" s="153"/>
      <c r="B176" s="153"/>
      <c r="C176" s="153"/>
      <c r="D176" s="153"/>
      <c r="E176" s="153"/>
      <c r="F176" s="153"/>
      <c r="G176" s="153"/>
      <c r="H176" s="153"/>
      <c r="I176" s="153"/>
      <c r="J176" s="154"/>
      <c r="K176" s="184"/>
      <c r="L176" s="185"/>
      <c r="M176" s="186"/>
      <c r="N176" s="184"/>
      <c r="O176" s="185"/>
      <c r="P176" s="186"/>
      <c r="Q176" s="184"/>
      <c r="R176" s="185"/>
      <c r="S176" s="186"/>
      <c r="T176" s="154"/>
    </row>
    <row r="177" spans="1:26" x14ac:dyDescent="0.2">
      <c r="A177" s="153"/>
      <c r="B177" s="153"/>
      <c r="C177" s="153"/>
      <c r="D177" s="153"/>
      <c r="E177" s="153"/>
      <c r="F177" s="153"/>
      <c r="G177" s="153"/>
      <c r="H177" s="153"/>
      <c r="I177" s="153"/>
      <c r="J177" s="154"/>
      <c r="K177" s="15" t="s">
        <v>24</v>
      </c>
      <c r="L177" s="15" t="s">
        <v>25</v>
      </c>
      <c r="M177" s="15" t="s">
        <v>26</v>
      </c>
      <c r="N177" s="15" t="s">
        <v>30</v>
      </c>
      <c r="O177" s="15" t="s">
        <v>5</v>
      </c>
      <c r="P177" s="15" t="s">
        <v>27</v>
      </c>
      <c r="Q177" s="15" t="s">
        <v>28</v>
      </c>
      <c r="R177" s="15" t="s">
        <v>24</v>
      </c>
      <c r="S177" s="15" t="s">
        <v>29</v>
      </c>
      <c r="T177" s="154"/>
    </row>
    <row r="178" spans="1:26" x14ac:dyDescent="0.2">
      <c r="A178" s="153" t="s">
        <v>135</v>
      </c>
      <c r="B178" s="153"/>
      <c r="C178" s="153"/>
      <c r="D178" s="153"/>
      <c r="E178" s="153"/>
      <c r="F178" s="153"/>
      <c r="G178" s="153"/>
      <c r="H178" s="153"/>
      <c r="I178" s="153"/>
      <c r="J178" s="153"/>
      <c r="K178" s="153"/>
      <c r="L178" s="153"/>
      <c r="M178" s="153"/>
      <c r="N178" s="153"/>
      <c r="O178" s="153"/>
      <c r="P178" s="153"/>
      <c r="Q178" s="153"/>
      <c r="R178" s="153"/>
      <c r="S178" s="153"/>
      <c r="T178" s="153"/>
    </row>
    <row r="179" spans="1:26" ht="28.35" customHeight="1" x14ac:dyDescent="0.25">
      <c r="A179" s="16" t="str">
        <f>IF(ISNA(INDEX($A$75:$T$148,MATCH($B179,$B$75:$B$148,0),1)),"",INDEX($A$75:$T$148,MATCH($B179,$B$75:$B$148,0),1))</f>
        <v>UMM4101</v>
      </c>
      <c r="B179" s="152" t="s">
        <v>147</v>
      </c>
      <c r="C179" s="152"/>
      <c r="D179" s="152"/>
      <c r="E179" s="152"/>
      <c r="F179" s="152"/>
      <c r="G179" s="152"/>
      <c r="H179" s="152"/>
      <c r="I179" s="152"/>
      <c r="J179" s="8">
        <f>IF(ISNA(INDEX($A$75:$T$148,MATCH($B179,$B$75:$B$148,0),10)),"",INDEX($A$75:$T$148,MATCH($B179,$B$75:$B$148,0),10))</f>
        <v>7</v>
      </c>
      <c r="K179" s="8">
        <f>IF(ISNA(INDEX($A$75:$T$148,MATCH($B179,$B$75:$B$148,0),11)),"",INDEX($A$75:$T$148,MATCH($B179,$B$75:$B$148,0),11))</f>
        <v>2</v>
      </c>
      <c r="L179" s="8">
        <f>IF(ISNA(INDEX($A$75:$T$148,MATCH($B179,$B$75:$B$148,0),12)),"",INDEX($A$75:$T$148,MATCH($B179,$B$75:$B$148,0),12))</f>
        <v>1</v>
      </c>
      <c r="M179" s="8">
        <f>IF(ISNA(INDEX($A$75:$T$148,MATCH($B179,$B$75:$B$148,0),13)),"",INDEX($A$75:$T$148,MATCH($B179,$B$75:$B$148,0),13))</f>
        <v>0</v>
      </c>
      <c r="N179" s="8">
        <f>IF(ISNA(INDEX($A$75:$T$148,MATCH($B179,$B$75:$B$148,0),14)),"",INDEX($A$75:$T$148,MATCH($B179,$B$75:$B$148,0),14))</f>
        <v>3</v>
      </c>
      <c r="O179" s="8">
        <f>IF(ISNA(INDEX($A$75:$T$148,MATCH($B179,$B$75:$B$148,0),15)),"",INDEX($A$75:$T$148,MATCH($B179,$B$75:$B$148,0),15))</f>
        <v>10</v>
      </c>
      <c r="P179" s="8">
        <f>IF(ISNA(INDEX($A$75:$T$148,MATCH($B179,$B$75:$B$148,0),16)),"",INDEX($A$75:$T$148,MATCH($B179,$B$75:$B$148,0),16))</f>
        <v>13</v>
      </c>
      <c r="Q179" s="14" t="str">
        <f>IF(ISNA(INDEX($A$75:$T$148,MATCH($B179,$B$75:$B$148,0),17)),"",INDEX($A$75:$T$148,MATCH($B179,$B$75:$B$148,0),17))</f>
        <v>E</v>
      </c>
      <c r="R179" s="14">
        <f>IF(ISNA(INDEX($A$75:$T$148,MATCH($B179,$B$75:$B$148,0),18)),"",INDEX($A$75:$T$148,MATCH($B179,$B$75:$B$148,0),18))</f>
        <v>0</v>
      </c>
      <c r="S179" s="14">
        <f>IF(ISNA(INDEX($A$75:$T$148,MATCH($B179,$B$75:$B$148,0),19)),"",INDEX($A$75:$T$148,MATCH($B179,$B$75:$B$148,0),19))</f>
        <v>0</v>
      </c>
      <c r="T179" s="14" t="str">
        <f>IF(ISNA(INDEX($A$75:$T$148,MATCH($B179,$B$75:$B$148,0),20)),"",INDEX($A$75:$T$148,MATCH($B179,$B$75:$B$148,0),20))</f>
        <v>DF</v>
      </c>
      <c r="U179" s="23"/>
      <c r="V179" s="24"/>
      <c r="W179" s="24"/>
      <c r="X179" s="24"/>
      <c r="Y179" s="24"/>
      <c r="Z179" s="24"/>
    </row>
    <row r="180" spans="1:26" ht="28.35" customHeight="1" x14ac:dyDescent="0.25">
      <c r="A180" s="16" t="str">
        <f>IF(ISNA(INDEX($A$75:$T$148,MATCH($B180,$B$75:$B$148,0),1)),"",INDEX($A$75:$T$148,MATCH($B180,$B$75:$B$148,0),1))</f>
        <v>UMM4206</v>
      </c>
      <c r="B180" s="130" t="s">
        <v>157</v>
      </c>
      <c r="C180" s="187"/>
      <c r="D180" s="187"/>
      <c r="E180" s="187"/>
      <c r="F180" s="187"/>
      <c r="G180" s="187"/>
      <c r="H180" s="187"/>
      <c r="I180" s="188"/>
      <c r="J180" s="8">
        <f>IF(ISNA(INDEX($A$75:$T$148,MATCH($B180,$B$75:$B$148,0),10)),"",INDEX($A$75:$T$148,MATCH($B180,$B$75:$B$148,0),10))</f>
        <v>6</v>
      </c>
      <c r="K180" s="8">
        <f>IF(ISNA(INDEX($A$75:$T$148,MATCH($B180,$B$75:$B$148,0),11)),"",INDEX($A$75:$T$148,MATCH($B180,$B$75:$B$148,0),11))</f>
        <v>2</v>
      </c>
      <c r="L180" s="8">
        <f>IF(ISNA(INDEX($A$75:$T$148,MATCH($B180,$B$75:$B$148,0),12)),"",INDEX($A$75:$T$148,MATCH($B180,$B$75:$B$148,0),12))</f>
        <v>1</v>
      </c>
      <c r="M180" s="8">
        <f>IF(ISNA(INDEX($A$75:$T$148,MATCH($B180,$B$75:$B$148,0),13)),"",INDEX($A$75:$T$148,MATCH($B180,$B$75:$B$148,0),13))</f>
        <v>0</v>
      </c>
      <c r="N180" s="8">
        <f>IF(ISNA(INDEX($A$75:$T$148,MATCH($B180,$B$75:$B$148,0),14)),"",INDEX($A$75:$T$148,MATCH($B180,$B$75:$B$148,0),14))</f>
        <v>3</v>
      </c>
      <c r="O180" s="8">
        <f>IF(ISNA(INDEX($A$75:$T$148,MATCH($B180,$B$75:$B$148,0),15)),"",INDEX($A$75:$T$148,MATCH($B180,$B$75:$B$148,0),15))</f>
        <v>8</v>
      </c>
      <c r="P180" s="8">
        <f>IF(ISNA(INDEX($A$75:$T$148,MATCH($B180,$B$75:$B$148,0),16)),"",INDEX($A$75:$T$148,MATCH($B180,$B$75:$B$148,0),16))</f>
        <v>11</v>
      </c>
      <c r="Q180" s="14" t="str">
        <f>IF(ISNA(INDEX($A$75:$T$148,MATCH($B180,$B$75:$B$148,0),17)),"",INDEX($A$75:$T$148,MATCH($B180,$B$75:$B$148,0),17))</f>
        <v>E</v>
      </c>
      <c r="R180" s="14">
        <f>IF(ISNA(INDEX($A$75:$T$148,MATCH($B180,$B$75:$B$148,0),18)),"",INDEX($A$75:$T$148,MATCH($B180,$B$75:$B$148,0),18))</f>
        <v>0</v>
      </c>
      <c r="S180" s="14">
        <f>IF(ISNA(INDEX($A$75:$T$148,MATCH($B180,$B$75:$B$148,0),19)),"",INDEX($A$75:$T$148,MATCH($B180,$B$75:$B$148,0),19))</f>
        <v>0</v>
      </c>
      <c r="T180" s="14" t="str">
        <f>IF(ISNA(INDEX($A$75:$T$148,MATCH($B180,$B$75:$B$148,0),20)),"",INDEX($A$75:$T$148,MATCH($B180,$B$75:$B$148,0),20))</f>
        <v>DF</v>
      </c>
      <c r="U180" s="24"/>
      <c r="V180" s="24"/>
      <c r="W180" s="24"/>
      <c r="X180" s="24"/>
      <c r="Y180" s="24"/>
      <c r="Z180" s="24"/>
    </row>
    <row r="181" spans="1:26" ht="28.35" customHeight="1" x14ac:dyDescent="0.25">
      <c r="A181" s="16" t="str">
        <f>IF(ISNA(INDEX($A$75:$T$148,MATCH($B181,$B$75:$B$148,0),1)),"",INDEX($A$75:$T$148,MATCH($B181,$B$75:$B$148,0),1))</f>
        <v>UMM4314</v>
      </c>
      <c r="B181" s="130" t="s">
        <v>173</v>
      </c>
      <c r="C181" s="187"/>
      <c r="D181" s="187"/>
      <c r="E181" s="187"/>
      <c r="F181" s="187"/>
      <c r="G181" s="187"/>
      <c r="H181" s="187"/>
      <c r="I181" s="188"/>
      <c r="J181" s="8">
        <f>IF(ISNA(INDEX($A$75:$T$148,MATCH($B181,$B$75:$B$148,0),10)),"",INDEX($A$75:$T$148,MATCH($B181,$B$75:$B$148,0),10))</f>
        <v>6</v>
      </c>
      <c r="K181" s="8">
        <f>IF(ISNA(INDEX($A$75:$T$148,MATCH($B181,$B$75:$B$148,0),11)),"",INDEX($A$75:$T$148,MATCH($B181,$B$75:$B$148,0),11))</f>
        <v>2</v>
      </c>
      <c r="L181" s="8">
        <f>IF(ISNA(INDEX($A$75:$T$148,MATCH($B181,$B$75:$B$148,0),12)),"",INDEX($A$75:$T$148,MATCH($B181,$B$75:$B$148,0),12))</f>
        <v>1</v>
      </c>
      <c r="M181" s="8">
        <f>IF(ISNA(INDEX($A$75:$T$148,MATCH($B181,$B$75:$B$148,0),13)),"",INDEX($A$75:$T$148,MATCH($B181,$B$75:$B$148,0),13))</f>
        <v>0</v>
      </c>
      <c r="N181" s="8">
        <f>IF(ISNA(INDEX($A$75:$T$148,MATCH($B181,$B$75:$B$148,0),14)),"",INDEX($A$75:$T$148,MATCH($B181,$B$75:$B$148,0),14))</f>
        <v>3</v>
      </c>
      <c r="O181" s="8">
        <f>IF(ISNA(INDEX($A$75:$T$148,MATCH($B181,$B$75:$B$148,0),15)),"",INDEX($A$75:$T$148,MATCH($B181,$B$75:$B$148,0),15))</f>
        <v>8</v>
      </c>
      <c r="P181" s="8">
        <f>IF(ISNA(INDEX($A$75:$T$148,MATCH($B181,$B$75:$B$148,0),16)),"",INDEX($A$75:$T$148,MATCH($B181,$B$75:$B$148,0),16))</f>
        <v>11</v>
      </c>
      <c r="Q181" s="14" t="str">
        <f>IF(ISNA(INDEX($A$75:$T$148,MATCH($B181,$B$75:$B$148,0),17)),"",INDEX($A$75:$T$148,MATCH($B181,$B$75:$B$148,0),17))</f>
        <v>E</v>
      </c>
      <c r="R181" s="14">
        <f>IF(ISNA(INDEX($A$75:$T$148,MATCH($B181,$B$75:$B$148,0),18)),"",INDEX($A$75:$T$148,MATCH($B181,$B$75:$B$148,0),18))</f>
        <v>0</v>
      </c>
      <c r="S181" s="14">
        <f>IF(ISNA(INDEX($A$75:$T$148,MATCH($B181,$B$75:$B$148,0),19)),"",INDEX($A$75:$T$148,MATCH($B181,$B$75:$B$148,0),19))</f>
        <v>0</v>
      </c>
      <c r="T181" s="14" t="str">
        <f>IF(ISNA(INDEX($A$75:$T$148,MATCH($B181,$B$75:$B$148,0),20)),"",INDEX($A$75:$T$148,MATCH($B181,$B$75:$B$148,0),20))</f>
        <v>DF</v>
      </c>
      <c r="U181" s="24"/>
      <c r="V181" s="24"/>
      <c r="W181" s="24"/>
      <c r="X181" s="24"/>
      <c r="Y181" s="24"/>
      <c r="Z181" s="24"/>
    </row>
    <row r="182" spans="1:26" ht="15" x14ac:dyDescent="0.25">
      <c r="A182" s="9" t="s">
        <v>21</v>
      </c>
      <c r="B182" s="237"/>
      <c r="C182" s="237"/>
      <c r="D182" s="237"/>
      <c r="E182" s="237"/>
      <c r="F182" s="237"/>
      <c r="G182" s="237"/>
      <c r="H182" s="237"/>
      <c r="I182" s="237"/>
      <c r="J182" s="10">
        <f t="shared" ref="J182:P182" si="36">SUM(J179:J181)</f>
        <v>19</v>
      </c>
      <c r="K182" s="10">
        <f t="shared" si="36"/>
        <v>6</v>
      </c>
      <c r="L182" s="10">
        <f t="shared" si="36"/>
        <v>3</v>
      </c>
      <c r="M182" s="10">
        <f t="shared" si="36"/>
        <v>0</v>
      </c>
      <c r="N182" s="10">
        <f t="shared" si="36"/>
        <v>9</v>
      </c>
      <c r="O182" s="10">
        <f t="shared" si="36"/>
        <v>26</v>
      </c>
      <c r="P182" s="10">
        <f t="shared" si="36"/>
        <v>35</v>
      </c>
      <c r="Q182" s="9">
        <f>COUNTIF(Q179:Q181,"E")</f>
        <v>3</v>
      </c>
      <c r="R182" s="9">
        <f>COUNTIF(R179:R181,"C")</f>
        <v>0</v>
      </c>
      <c r="S182" s="9">
        <f>COUNTIF(S179:S181,"VP")</f>
        <v>0</v>
      </c>
      <c r="T182" s="7">
        <f>COUNTA(T179:T181)</f>
        <v>3</v>
      </c>
      <c r="U182" s="24"/>
      <c r="V182" s="24"/>
      <c r="W182" s="24"/>
      <c r="X182" s="24"/>
      <c r="Y182" s="24"/>
      <c r="Z182" s="24"/>
    </row>
    <row r="183" spans="1:26" ht="15" x14ac:dyDescent="0.25">
      <c r="A183" s="153" t="s">
        <v>134</v>
      </c>
      <c r="B183" s="153"/>
      <c r="C183" s="153"/>
      <c r="D183" s="153"/>
      <c r="E183" s="153"/>
      <c r="F183" s="153"/>
      <c r="G183" s="153"/>
      <c r="H183" s="153"/>
      <c r="I183" s="153"/>
      <c r="J183" s="153"/>
      <c r="K183" s="153"/>
      <c r="L183" s="153"/>
      <c r="M183" s="153"/>
      <c r="N183" s="153"/>
      <c r="O183" s="153"/>
      <c r="P183" s="153"/>
      <c r="Q183" s="153"/>
      <c r="R183" s="153"/>
      <c r="S183" s="153"/>
      <c r="T183" s="153"/>
      <c r="U183" s="24"/>
      <c r="V183" s="24"/>
      <c r="W183" s="24"/>
      <c r="X183" s="24"/>
      <c r="Y183" s="24"/>
      <c r="Z183" s="24"/>
    </row>
    <row r="184" spans="1:26" ht="28.35" customHeight="1" x14ac:dyDescent="0.25">
      <c r="A184" s="16" t="str">
        <f>IF(ISNA(INDEX($A$75:$T$148,MATCH($B184,$B$75:$B$148,0),1)),"",INDEX($A$75:$T$148,MATCH($B184,$B$75:$B$148,0),1))</f>
        <v>UME4418</v>
      </c>
      <c r="B184" s="130" t="s">
        <v>181</v>
      </c>
      <c r="C184" s="131"/>
      <c r="D184" s="131"/>
      <c r="E184" s="131"/>
      <c r="F184" s="131"/>
      <c r="G184" s="131"/>
      <c r="H184" s="131"/>
      <c r="I184" s="132"/>
      <c r="J184" s="8">
        <f>IF(ISNA(INDEX($A$75:$T$148,MATCH($B184,$B$75:$B$148,0),10)),"",INDEX($A$75:$T$148,MATCH($B184,$B$75:$B$148,0),10))</f>
        <v>7</v>
      </c>
      <c r="K184" s="8">
        <f>IF(ISNA(INDEX($A$75:$T$148,MATCH($B184,$B$75:$B$148,0),11)),"",INDEX($A$75:$T$148,MATCH($B184,$B$75:$B$148,0),11))</f>
        <v>2</v>
      </c>
      <c r="L184" s="8">
        <f>IF(ISNA(INDEX($A$75:$T$148,MATCH($B184,$B$75:$B$148,0),12)),"",INDEX($A$75:$T$148,MATCH($B184,$B$75:$B$148,0),12))</f>
        <v>1</v>
      </c>
      <c r="M184" s="8">
        <f>IF(ISNA(INDEX($A$75:$T$148,MATCH($B184,$B$75:$B$148,0),13)),"",INDEX($A$75:$T$148,MATCH($B184,$B$75:$B$148,0),13))</f>
        <v>0</v>
      </c>
      <c r="N184" s="8">
        <f>IF(ISNA(INDEX($A$75:$T$148,MATCH($B184,$B$75:$B$148,0),14)),"",INDEX($A$75:$T$148,MATCH($B184,$B$75:$B$148,0),14))</f>
        <v>3</v>
      </c>
      <c r="O184" s="8">
        <f>IF(ISNA(INDEX($A$75:$T$148,MATCH($B184,$B$75:$B$148,0),15)),"",INDEX($A$75:$T$148,MATCH($B184,$B$75:$B$148,0),15))</f>
        <v>12</v>
      </c>
      <c r="P184" s="8">
        <f>IF(ISNA(INDEX($A$75:$T$148,MATCH($B184,$B$75:$B$148,0),16)),"",INDEX($A$75:$T$148,MATCH($B184,$B$75:$B$148,0),16))</f>
        <v>15</v>
      </c>
      <c r="Q184" s="14" t="str">
        <f>IF(ISNA(INDEX($A$75:$T$148,MATCH($B184,$B$75:$B$148,0),17)),"",INDEX($A$75:$T$148,MATCH($B184,$B$75:$B$148,0),17))</f>
        <v>E</v>
      </c>
      <c r="R184" s="14">
        <f>IF(ISNA(INDEX($A$75:$T$148,MATCH($B184,$B$75:$B$148,0),18)),"",INDEX($A$75:$T$148,MATCH($B184,$B$75:$B$148,0),18))</f>
        <v>0</v>
      </c>
      <c r="S184" s="14">
        <f>IF(ISNA(INDEX($A$75:$T$148,MATCH($B184,$B$75:$B$148,0),19)),"",INDEX($A$75:$T$148,MATCH($B184,$B$75:$B$148,0),19))</f>
        <v>0</v>
      </c>
      <c r="T184" s="14" t="str">
        <f>IF(ISNA(INDEX($A$75:$T$148,MATCH($B184,$B$75:$B$148,0),20)),"",INDEX($A$75:$T$148,MATCH($B184,$B$75:$B$148,0),20))</f>
        <v>DF</v>
      </c>
      <c r="U184" s="24"/>
      <c r="V184" s="24"/>
      <c r="W184" s="24"/>
      <c r="X184" s="24"/>
      <c r="Y184" s="24"/>
      <c r="Z184" s="24"/>
    </row>
    <row r="185" spans="1:26" ht="28.35" customHeight="1" x14ac:dyDescent="0.25">
      <c r="A185" s="16" t="str">
        <f>IF(ISNA(INDEX($A$75:$T$148,MATCH($B185,$B$75:$B$148,0),1)),"",INDEX($A$75:$T$148,MATCH($B185,$B$75:$B$148,0),1))</f>
        <v>UMM4421</v>
      </c>
      <c r="B185" s="130" t="s">
        <v>187</v>
      </c>
      <c r="C185" s="131"/>
      <c r="D185" s="131"/>
      <c r="E185" s="131"/>
      <c r="F185" s="131"/>
      <c r="G185" s="131"/>
      <c r="H185" s="131"/>
      <c r="I185" s="132"/>
      <c r="J185" s="8">
        <f>IF(ISNA(INDEX($A$75:$T$148,MATCH($B185,$B$75:$B$148,0),10)),"",INDEX($A$75:$T$148,MATCH($B185,$B$75:$B$148,0),10))</f>
        <v>6</v>
      </c>
      <c r="K185" s="8">
        <f>IF(ISNA(INDEX($A$75:$T$148,MATCH($B185,$B$75:$B$148,0),11)),"",INDEX($A$75:$T$148,MATCH($B185,$B$75:$B$148,0),11))</f>
        <v>0</v>
      </c>
      <c r="L185" s="8">
        <f>IF(ISNA(INDEX($A$75:$T$148,MATCH($B185,$B$75:$B$148,0),12)),"",INDEX($A$75:$T$148,MATCH($B185,$B$75:$B$148,0),12))</f>
        <v>0</v>
      </c>
      <c r="M185" s="78">
        <f>IF(ISNA(INDEX($A$75:$T$148,MATCH($B185,$B$75:$B$148,0),13)),"",INDEX($A$75:$T$148,MATCH($B185,$B$75:$B$148,0),13))</f>
        <v>3</v>
      </c>
      <c r="N185" s="8">
        <f>IF(ISNA(INDEX($A$75:$T$148,MATCH($B185,$B$75:$B$148,0),14)),"",INDEX($A$75:$T$148,MATCH($B185,$B$75:$B$148,0),14))</f>
        <v>3</v>
      </c>
      <c r="O185" s="8">
        <f>IF(ISNA(INDEX($A$75:$T$148,MATCH($B185,$B$75:$B$148,0),15)),"",INDEX($A$75:$T$148,MATCH($B185,$B$75:$B$148,0),15))</f>
        <v>10</v>
      </c>
      <c r="P185" s="8">
        <f>IF(ISNA(INDEX($A$75:$T$148,MATCH($B185,$B$75:$B$148,0),16)),"",INDEX($A$75:$T$148,MATCH($B185,$B$75:$B$148,0),16))</f>
        <v>13</v>
      </c>
      <c r="Q185" s="14">
        <f>IF(ISNA(INDEX($A$75:$T$148,MATCH($B185,$B$75:$B$148,0),17)),"",INDEX($A$75:$T$148,MATCH($B185,$B$75:$B$148,0),17))</f>
        <v>0</v>
      </c>
      <c r="R185" s="14">
        <f>IF(ISNA(INDEX($A$75:$T$148,MATCH($B185,$B$75:$B$148,0),18)),"",INDEX($A$75:$T$148,MATCH($B185,$B$75:$B$148,0),18))</f>
        <v>0</v>
      </c>
      <c r="S185" s="14" t="str">
        <f>IF(ISNA(INDEX($A$75:$T$148,MATCH($B185,$B$75:$B$148,0),19)),"",INDEX($A$75:$T$148,MATCH($B185,$B$75:$B$148,0),19))</f>
        <v>VP</v>
      </c>
      <c r="T185" s="14" t="str">
        <f>IF(ISNA(INDEX($A$75:$T$148,MATCH($B185,$B$75:$B$148,0),20)),"",INDEX($A$75:$T$148,MATCH($B185,$B$75:$B$148,0),20))</f>
        <v>DF</v>
      </c>
      <c r="U185" s="24"/>
      <c r="V185" s="24"/>
      <c r="W185" s="24"/>
      <c r="X185" s="24"/>
      <c r="Y185" s="24"/>
      <c r="Z185" s="24"/>
    </row>
    <row r="186" spans="1:26" ht="15" x14ac:dyDescent="0.25">
      <c r="A186" s="9" t="s">
        <v>21</v>
      </c>
      <c r="B186" s="153"/>
      <c r="C186" s="153"/>
      <c r="D186" s="153"/>
      <c r="E186" s="153"/>
      <c r="F186" s="153"/>
      <c r="G186" s="153"/>
      <c r="H186" s="153"/>
      <c r="I186" s="153"/>
      <c r="J186" s="10">
        <f t="shared" ref="J186:P186" si="37">SUM(J184:J185)</f>
        <v>13</v>
      </c>
      <c r="K186" s="10">
        <f t="shared" si="37"/>
        <v>2</v>
      </c>
      <c r="L186" s="10">
        <f t="shared" si="37"/>
        <v>1</v>
      </c>
      <c r="M186" s="10">
        <f t="shared" si="37"/>
        <v>3</v>
      </c>
      <c r="N186" s="10">
        <f t="shared" si="37"/>
        <v>6</v>
      </c>
      <c r="O186" s="10">
        <f t="shared" si="37"/>
        <v>22</v>
      </c>
      <c r="P186" s="10">
        <f t="shared" si="37"/>
        <v>28</v>
      </c>
      <c r="Q186" s="9">
        <f>COUNTIF(Q184:Q185,"E")</f>
        <v>1</v>
      </c>
      <c r="R186" s="9">
        <f>COUNTIF(R184:R185,"C")</f>
        <v>0</v>
      </c>
      <c r="S186" s="9">
        <f>COUNTIF(S184:S185,"VP")</f>
        <v>1</v>
      </c>
      <c r="T186" s="7">
        <f>COUNTA(T184:T185)</f>
        <v>2</v>
      </c>
      <c r="U186" s="24"/>
      <c r="V186" s="24"/>
      <c r="W186" s="24"/>
      <c r="X186" s="24"/>
      <c r="Y186" s="24"/>
      <c r="Z186" s="24"/>
    </row>
    <row r="187" spans="1:26" ht="15" x14ac:dyDescent="0.25">
      <c r="A187" s="155" t="s">
        <v>79</v>
      </c>
      <c r="B187" s="155"/>
      <c r="C187" s="155"/>
      <c r="D187" s="155"/>
      <c r="E187" s="155"/>
      <c r="F187" s="155"/>
      <c r="G187" s="155"/>
      <c r="H187" s="155"/>
      <c r="I187" s="155"/>
      <c r="J187" s="10">
        <f t="shared" ref="J187:T187" si="38">SUM(J182,J186)</f>
        <v>32</v>
      </c>
      <c r="K187" s="10">
        <f t="shared" si="38"/>
        <v>8</v>
      </c>
      <c r="L187" s="10">
        <f t="shared" si="38"/>
        <v>4</v>
      </c>
      <c r="M187" s="10">
        <f t="shared" si="38"/>
        <v>3</v>
      </c>
      <c r="N187" s="10">
        <f t="shared" si="38"/>
        <v>15</v>
      </c>
      <c r="O187" s="10">
        <f t="shared" si="38"/>
        <v>48</v>
      </c>
      <c r="P187" s="10">
        <f t="shared" si="38"/>
        <v>63</v>
      </c>
      <c r="Q187" s="10">
        <f t="shared" si="38"/>
        <v>4</v>
      </c>
      <c r="R187" s="10">
        <f t="shared" si="38"/>
        <v>0</v>
      </c>
      <c r="S187" s="10">
        <f t="shared" si="38"/>
        <v>1</v>
      </c>
      <c r="T187" s="31">
        <f t="shared" si="38"/>
        <v>5</v>
      </c>
      <c r="U187" s="24"/>
      <c r="V187" s="24"/>
      <c r="W187" s="24"/>
      <c r="X187" s="24"/>
      <c r="Y187" s="24"/>
      <c r="Z187" s="24"/>
    </row>
    <row r="188" spans="1:26" ht="15" x14ac:dyDescent="0.25">
      <c r="A188" s="155" t="s">
        <v>42</v>
      </c>
      <c r="B188" s="155"/>
      <c r="C188" s="155"/>
      <c r="D188" s="155"/>
      <c r="E188" s="155"/>
      <c r="F188" s="155"/>
      <c r="G188" s="155"/>
      <c r="H188" s="155"/>
      <c r="I188" s="155"/>
      <c r="J188" s="155"/>
      <c r="K188" s="10">
        <f t="shared" ref="K188:P188" si="39">K182*14+K186*12</f>
        <v>108</v>
      </c>
      <c r="L188" s="10">
        <f t="shared" si="39"/>
        <v>54</v>
      </c>
      <c r="M188" s="10">
        <f t="shared" si="39"/>
        <v>36</v>
      </c>
      <c r="N188" s="10">
        <f t="shared" si="39"/>
        <v>198</v>
      </c>
      <c r="O188" s="10">
        <f t="shared" si="39"/>
        <v>628</v>
      </c>
      <c r="P188" s="10">
        <f t="shared" si="39"/>
        <v>826</v>
      </c>
      <c r="Q188" s="203"/>
      <c r="R188" s="203"/>
      <c r="S188" s="203"/>
      <c r="T188" s="203"/>
      <c r="U188" s="24"/>
      <c r="V188" s="24"/>
      <c r="W188" s="24"/>
      <c r="X188" s="24"/>
      <c r="Y188" s="24"/>
      <c r="Z188" s="24"/>
    </row>
    <row r="189" spans="1:26" ht="15" x14ac:dyDescent="0.25">
      <c r="A189" s="155"/>
      <c r="B189" s="155"/>
      <c r="C189" s="155"/>
      <c r="D189" s="155"/>
      <c r="E189" s="155"/>
      <c r="F189" s="155"/>
      <c r="G189" s="155"/>
      <c r="H189" s="155"/>
      <c r="I189" s="155"/>
      <c r="J189" s="155"/>
      <c r="K189" s="180">
        <f>SUM(K188:M188)</f>
        <v>198</v>
      </c>
      <c r="L189" s="180"/>
      <c r="M189" s="180"/>
      <c r="N189" s="180">
        <f>SUM(N188:O188)</f>
        <v>826</v>
      </c>
      <c r="O189" s="180"/>
      <c r="P189" s="180"/>
      <c r="Q189" s="203"/>
      <c r="R189" s="203"/>
      <c r="S189" s="203"/>
      <c r="T189" s="203"/>
      <c r="U189" s="24"/>
      <c r="V189" s="24"/>
      <c r="W189" s="24"/>
      <c r="X189" s="24"/>
      <c r="Y189" s="24"/>
      <c r="Z189" s="24"/>
    </row>
    <row r="190" spans="1:26" ht="15" x14ac:dyDescent="0.25">
      <c r="A190" s="219" t="s">
        <v>65</v>
      </c>
      <c r="B190" s="226"/>
      <c r="C190" s="226"/>
      <c r="D190" s="226"/>
      <c r="E190" s="226"/>
      <c r="F190" s="226"/>
      <c r="G190" s="226"/>
      <c r="H190" s="226"/>
      <c r="I190" s="226"/>
      <c r="J190" s="220"/>
      <c r="K190" s="201">
        <f>T187/SUM(T85,T99,T111,T124)</f>
        <v>0.22727272727272727</v>
      </c>
      <c r="L190" s="201"/>
      <c r="M190" s="201"/>
      <c r="N190" s="201"/>
      <c r="O190" s="201"/>
      <c r="P190" s="201"/>
      <c r="Q190" s="201"/>
      <c r="R190" s="201"/>
      <c r="S190" s="201"/>
      <c r="T190" s="201"/>
      <c r="U190" s="24"/>
      <c r="V190" s="24"/>
      <c r="W190" s="24"/>
      <c r="X190" s="24"/>
      <c r="Y190" s="24"/>
      <c r="Z190" s="24"/>
    </row>
    <row r="191" spans="1:26" ht="15" x14ac:dyDescent="0.25">
      <c r="A191" s="227" t="s">
        <v>66</v>
      </c>
      <c r="B191" s="227"/>
      <c r="C191" s="227"/>
      <c r="D191" s="227"/>
      <c r="E191" s="227"/>
      <c r="F191" s="227"/>
      <c r="G191" s="227"/>
      <c r="H191" s="227"/>
      <c r="I191" s="227"/>
      <c r="J191" s="227"/>
      <c r="K191" s="201">
        <f>K189/(SUM(N85,N99,N111)*14+N124*12)</f>
        <v>0.24384236453201971</v>
      </c>
      <c r="L191" s="201"/>
      <c r="M191" s="201"/>
      <c r="N191" s="201"/>
      <c r="O191" s="201"/>
      <c r="P191" s="201"/>
      <c r="Q191" s="201"/>
      <c r="R191" s="201"/>
      <c r="S191" s="201"/>
      <c r="T191" s="201"/>
      <c r="U191" s="24"/>
      <c r="V191" s="24"/>
      <c r="W191" s="24"/>
      <c r="X191" s="24"/>
      <c r="Y191" s="24"/>
      <c r="Z191" s="24"/>
    </row>
    <row r="193" spans="1:26" ht="11.25" customHeight="1" x14ac:dyDescent="0.25">
      <c r="A193" s="105" t="s">
        <v>101</v>
      </c>
      <c r="B193" s="106"/>
      <c r="C193" s="106"/>
      <c r="D193" s="106"/>
      <c r="E193" s="106"/>
      <c r="F193" s="106"/>
      <c r="G193" s="106"/>
      <c r="H193" s="106"/>
      <c r="I193" s="106"/>
      <c r="J193" s="106"/>
      <c r="K193" s="106"/>
      <c r="L193" s="106"/>
      <c r="M193" s="106"/>
      <c r="N193" s="106"/>
      <c r="O193" s="106"/>
      <c r="P193" s="106"/>
      <c r="Q193" s="106"/>
      <c r="R193" s="106"/>
      <c r="S193" s="106"/>
      <c r="T193" s="107"/>
      <c r="V193"/>
    </row>
    <row r="194" spans="1:26" ht="11.25" customHeight="1" x14ac:dyDescent="0.25">
      <c r="A194" s="108"/>
      <c r="B194" s="109"/>
      <c r="C194" s="109"/>
      <c r="D194" s="109"/>
      <c r="E194" s="109"/>
      <c r="F194" s="109"/>
      <c r="G194" s="109"/>
      <c r="H194" s="109"/>
      <c r="I194" s="109"/>
      <c r="J194" s="109"/>
      <c r="K194" s="109"/>
      <c r="L194" s="109"/>
      <c r="M194" s="109"/>
      <c r="N194" s="109"/>
      <c r="O194" s="109"/>
      <c r="P194" s="109"/>
      <c r="Q194" s="109"/>
      <c r="R194" s="109"/>
      <c r="S194" s="109"/>
      <c r="T194" s="110"/>
      <c r="V194"/>
    </row>
    <row r="195" spans="1:26" ht="11.25" customHeight="1" x14ac:dyDescent="0.25">
      <c r="A195" s="153" t="s">
        <v>23</v>
      </c>
      <c r="B195" s="153" t="s">
        <v>22</v>
      </c>
      <c r="C195" s="153"/>
      <c r="D195" s="153"/>
      <c r="E195" s="153"/>
      <c r="F195" s="153"/>
      <c r="G195" s="153"/>
      <c r="H195" s="153"/>
      <c r="I195" s="153"/>
      <c r="J195" s="154" t="s">
        <v>34</v>
      </c>
      <c r="K195" s="181" t="s">
        <v>20</v>
      </c>
      <c r="L195" s="182"/>
      <c r="M195" s="183"/>
      <c r="N195" s="181" t="s">
        <v>35</v>
      </c>
      <c r="O195" s="182"/>
      <c r="P195" s="183"/>
      <c r="Q195" s="181" t="s">
        <v>19</v>
      </c>
      <c r="R195" s="182"/>
      <c r="S195" s="183"/>
      <c r="T195" s="154" t="s">
        <v>18</v>
      </c>
      <c r="U195"/>
      <c r="V195"/>
      <c r="W195" s="25"/>
      <c r="X195" s="25"/>
      <c r="Y195" s="25"/>
      <c r="Z195" s="25"/>
    </row>
    <row r="196" spans="1:26" ht="11.25" customHeight="1" x14ac:dyDescent="0.25">
      <c r="A196" s="153"/>
      <c r="B196" s="153"/>
      <c r="C196" s="153"/>
      <c r="D196" s="153"/>
      <c r="E196" s="153"/>
      <c r="F196" s="153"/>
      <c r="G196" s="153"/>
      <c r="H196" s="153"/>
      <c r="I196" s="153"/>
      <c r="J196" s="154"/>
      <c r="K196" s="184"/>
      <c r="L196" s="185"/>
      <c r="M196" s="186"/>
      <c r="N196" s="184"/>
      <c r="O196" s="185"/>
      <c r="P196" s="186"/>
      <c r="Q196" s="184"/>
      <c r="R196" s="185"/>
      <c r="S196" s="186"/>
      <c r="T196" s="154"/>
      <c r="U196"/>
      <c r="V196"/>
      <c r="W196" s="25"/>
      <c r="X196" s="25"/>
      <c r="Y196" s="25"/>
      <c r="Z196" s="25"/>
    </row>
    <row r="197" spans="1:26" ht="11.25" customHeight="1" x14ac:dyDescent="0.2">
      <c r="A197" s="153"/>
      <c r="B197" s="153"/>
      <c r="C197" s="153"/>
      <c r="D197" s="153"/>
      <c r="E197" s="153"/>
      <c r="F197" s="153"/>
      <c r="G197" s="153"/>
      <c r="H197" s="153"/>
      <c r="I197" s="153"/>
      <c r="J197" s="154"/>
      <c r="K197" s="15" t="s">
        <v>24</v>
      </c>
      <c r="L197" s="15" t="s">
        <v>25</v>
      </c>
      <c r="M197" s="15" t="s">
        <v>26</v>
      </c>
      <c r="N197" s="15" t="s">
        <v>30</v>
      </c>
      <c r="O197" s="15" t="s">
        <v>5</v>
      </c>
      <c r="P197" s="15" t="s">
        <v>27</v>
      </c>
      <c r="Q197" s="15" t="s">
        <v>28</v>
      </c>
      <c r="R197" s="15" t="s">
        <v>24</v>
      </c>
      <c r="S197" s="15" t="s">
        <v>29</v>
      </c>
      <c r="T197" s="154"/>
      <c r="U197" s="25"/>
      <c r="V197" s="25"/>
      <c r="W197" s="25"/>
      <c r="X197" s="25"/>
      <c r="Y197" s="25"/>
      <c r="Z197" s="25"/>
    </row>
    <row r="198" spans="1:26" ht="11.25" customHeight="1" x14ac:dyDescent="0.2">
      <c r="A198" s="153" t="s">
        <v>135</v>
      </c>
      <c r="B198" s="153"/>
      <c r="C198" s="153"/>
      <c r="D198" s="153"/>
      <c r="E198" s="153"/>
      <c r="F198" s="153"/>
      <c r="G198" s="153"/>
      <c r="H198" s="153"/>
      <c r="I198" s="153"/>
      <c r="J198" s="153"/>
      <c r="K198" s="153"/>
      <c r="L198" s="153"/>
      <c r="M198" s="153"/>
      <c r="N198" s="153"/>
      <c r="O198" s="153"/>
      <c r="P198" s="153"/>
      <c r="Q198" s="153"/>
      <c r="R198" s="153"/>
      <c r="S198" s="153"/>
      <c r="T198" s="153"/>
      <c r="U198" s="25"/>
      <c r="V198" s="25"/>
      <c r="W198" s="25"/>
      <c r="X198" s="25"/>
      <c r="Y198" s="25"/>
      <c r="Z198" s="25"/>
    </row>
    <row r="199" spans="1:26" s="23" customFormat="1" ht="19.7" customHeight="1" x14ac:dyDescent="0.2">
      <c r="A199" s="73" t="str">
        <f t="shared" ref="A199:A210" si="40">IF(ISNA(INDEX($A$75:$T$148,MATCH($B199,$B$75:$B$148,0),1)),"",INDEX($A$75:$T$148,MATCH($B199,$B$75:$B$148,0),1))</f>
        <v>UMM4105</v>
      </c>
      <c r="B199" s="152" t="s">
        <v>149</v>
      </c>
      <c r="C199" s="152"/>
      <c r="D199" s="152"/>
      <c r="E199" s="152"/>
      <c r="F199" s="152"/>
      <c r="G199" s="152"/>
      <c r="H199" s="152"/>
      <c r="I199" s="152"/>
      <c r="J199" s="74">
        <f>IF(ISNA(INDEX($A$75:$T$148,MATCH($B199,$B$75:$B$148,0),10)),"",INDEX($A$75:$T$148,MATCH($B199,$B$75:$B$148,0),10))</f>
        <v>6</v>
      </c>
      <c r="K199" s="74">
        <f>IF(ISNA(INDEX($A$75:$T$148,MATCH($B199,$B$75:$B$148,0),11)),"",INDEX($A$75:$T$148,MATCH($B199,$B$75:$B$148,0),11))</f>
        <v>0</v>
      </c>
      <c r="L199" s="74">
        <f>IF(ISNA(INDEX($A$75:$T$148,MATCH($B199,$B$75:$B$148,0),12)),"",INDEX($A$75:$T$148,MATCH($B199,$B$75:$B$148,0),12))</f>
        <v>0</v>
      </c>
      <c r="M199" s="74">
        <f>IF(ISNA(INDEX($A$75:$T$148,MATCH($B199,$B$75:$B$148,0),13)),"",INDEX($A$75:$T$148,MATCH($B199,$B$75:$B$148,0),13))</f>
        <v>2</v>
      </c>
      <c r="N199" s="74">
        <f>IF(ISNA(INDEX($A$75:$T$148,MATCH($B199,$B$75:$B$148,0),14)),"",INDEX($A$75:$T$148,MATCH($B199,$B$75:$B$148,0),14))</f>
        <v>2</v>
      </c>
      <c r="O199" s="74">
        <f>IF(ISNA(INDEX($A$75:$T$148,MATCH($B199,$B$75:$B$148,0),15)),"",INDEX($A$75:$T$148,MATCH($B199,$B$75:$B$148,0),15))</f>
        <v>9</v>
      </c>
      <c r="P199" s="74">
        <f>IF(ISNA(INDEX($A$75:$T$148,MATCH($B199,$B$75:$B$148,0),16)),"",INDEX($A$75:$T$148,MATCH($B199,$B$75:$B$148,0),16))</f>
        <v>11</v>
      </c>
      <c r="Q199" s="75">
        <f>IF(ISNA(INDEX($A$75:$T$148,MATCH($B199,$B$75:$B$148,0),17)),"",INDEX($A$75:$T$148,MATCH($B199,$B$75:$B$148,0),17))</f>
        <v>0</v>
      </c>
      <c r="R199" s="75" t="str">
        <f>IF(ISNA(INDEX($A$75:$T$148,MATCH($B199,$B$75:$B$148,0),18)),"",INDEX($A$75:$T$148,MATCH($B199,$B$75:$B$148,0),18))</f>
        <v>C</v>
      </c>
      <c r="S199" s="75">
        <f>IF(ISNA(INDEX($A$75:$T$148,MATCH($B199,$B$75:$B$148,0),19)),"",INDEX($A$75:$T$148,MATCH($B199,$B$75:$B$148,0),19))</f>
        <v>0</v>
      </c>
      <c r="T199" s="75" t="str">
        <f>IF(ISNA(INDEX($A$75:$T$148,MATCH($B199,$B$75:$B$148,0),20)),"",INDEX($A$75:$T$148,MATCH($B199,$B$75:$B$148,0),20))</f>
        <v>DS</v>
      </c>
      <c r="U199" s="25"/>
      <c r="V199" s="25"/>
      <c r="W199" s="25"/>
      <c r="X199" s="25"/>
      <c r="Y199" s="25"/>
      <c r="Z199" s="25"/>
    </row>
    <row r="200" spans="1:26" s="23" customFormat="1" ht="28.35" customHeight="1" x14ac:dyDescent="0.2">
      <c r="A200" s="73" t="str">
        <f t="shared" si="40"/>
        <v>UMM4103</v>
      </c>
      <c r="B200" s="152" t="s">
        <v>151</v>
      </c>
      <c r="C200" s="152"/>
      <c r="D200" s="152"/>
      <c r="E200" s="152"/>
      <c r="F200" s="152"/>
      <c r="G200" s="152"/>
      <c r="H200" s="152"/>
      <c r="I200" s="152"/>
      <c r="J200" s="74">
        <v>6</v>
      </c>
      <c r="K200" s="74">
        <v>0</v>
      </c>
      <c r="L200" s="74">
        <v>0</v>
      </c>
      <c r="M200" s="74">
        <v>2</v>
      </c>
      <c r="N200" s="74">
        <v>2</v>
      </c>
      <c r="O200" s="74">
        <v>9</v>
      </c>
      <c r="P200" s="74">
        <v>11</v>
      </c>
      <c r="Q200" s="75"/>
      <c r="R200" s="75" t="s">
        <v>24</v>
      </c>
      <c r="S200" s="75"/>
      <c r="T200" s="75" t="s">
        <v>91</v>
      </c>
      <c r="U200" s="25"/>
      <c r="V200" s="25"/>
      <c r="W200" s="25"/>
      <c r="X200" s="25"/>
      <c r="Y200" s="25"/>
      <c r="Z200" s="25"/>
    </row>
    <row r="201" spans="1:26" s="23" customFormat="1" ht="19.7" customHeight="1" x14ac:dyDescent="0.2">
      <c r="A201" s="73" t="str">
        <f t="shared" si="40"/>
        <v>UMM4104</v>
      </c>
      <c r="B201" s="152" t="s">
        <v>153</v>
      </c>
      <c r="C201" s="152"/>
      <c r="D201" s="152"/>
      <c r="E201" s="152"/>
      <c r="F201" s="152"/>
      <c r="G201" s="152"/>
      <c r="H201" s="152"/>
      <c r="I201" s="152"/>
      <c r="J201" s="74">
        <f t="shared" ref="J201:J210" si="41">IF(ISNA(INDEX($A$75:$T$148,MATCH($B201,$B$75:$B$148,0),10)),"",INDEX($A$75:$T$148,MATCH($B201,$B$75:$B$148,0),10))</f>
        <v>6</v>
      </c>
      <c r="K201" s="74">
        <f t="shared" ref="K201:K210" si="42">IF(ISNA(INDEX($A$75:$T$148,MATCH($B201,$B$75:$B$148,0),11)),"",INDEX($A$75:$T$148,MATCH($B201,$B$75:$B$148,0),11))</f>
        <v>2</v>
      </c>
      <c r="L201" s="74">
        <f t="shared" ref="L201:L210" si="43">IF(ISNA(INDEX($A$75:$T$148,MATCH($B201,$B$75:$B$148,0),12)),"",INDEX($A$75:$T$148,MATCH($B201,$B$75:$B$148,0),12))</f>
        <v>2</v>
      </c>
      <c r="M201" s="74">
        <f t="shared" ref="M201:M210" si="44">IF(ISNA(INDEX($A$75:$T$148,MATCH($B201,$B$75:$B$148,0),13)),"",INDEX($A$75:$T$148,MATCH($B201,$B$75:$B$148,0),13))</f>
        <v>0</v>
      </c>
      <c r="N201" s="74">
        <f t="shared" ref="N201:N210" si="45">IF(ISNA(INDEX($A$75:$T$148,MATCH($B201,$B$75:$B$148,0),14)),"",INDEX($A$75:$T$148,MATCH($B201,$B$75:$B$148,0),14))</f>
        <v>4</v>
      </c>
      <c r="O201" s="74">
        <f t="shared" ref="O201:O210" si="46">IF(ISNA(INDEX($A$75:$T$148,MATCH($B201,$B$75:$B$148,0),15)),"",INDEX($A$75:$T$148,MATCH($B201,$B$75:$B$148,0),15))</f>
        <v>7</v>
      </c>
      <c r="P201" s="74">
        <f t="shared" ref="P201:P210" si="47">IF(ISNA(INDEX($A$75:$T$148,MATCH($B201,$B$75:$B$148,0),16)),"",INDEX($A$75:$T$148,MATCH($B201,$B$75:$B$148,0),16))</f>
        <v>11</v>
      </c>
      <c r="Q201" s="75" t="str">
        <f t="shared" ref="Q201:Q210" si="48">IF(ISNA(INDEX($A$75:$T$148,MATCH($B201,$B$75:$B$148,0),17)),"",INDEX($A$75:$T$148,MATCH($B201,$B$75:$B$148,0),17))</f>
        <v>E</v>
      </c>
      <c r="R201" s="75">
        <f t="shared" ref="R201:R210" si="49">IF(ISNA(INDEX($A$75:$T$148,MATCH($B201,$B$75:$B$148,0),18)),"",INDEX($A$75:$T$148,MATCH($B201,$B$75:$B$148,0),18))</f>
        <v>0</v>
      </c>
      <c r="S201" s="75">
        <f t="shared" ref="S201:S210" si="50">IF(ISNA(INDEX($A$75:$T$148,MATCH($B201,$B$75:$B$148,0),19)),"",INDEX($A$75:$T$148,MATCH($B201,$B$75:$B$148,0),19))</f>
        <v>0</v>
      </c>
      <c r="T201" s="75" t="str">
        <f t="shared" ref="T201:T210" si="51">IF(ISNA(INDEX($A$75:$T$148,MATCH($B201,$B$75:$B$148,0),20)),"",INDEX($A$75:$T$148,MATCH($B201,$B$75:$B$148,0),20))</f>
        <v>DS</v>
      </c>
      <c r="U201" s="25"/>
      <c r="V201" s="25"/>
      <c r="W201" s="25"/>
      <c r="X201" s="25"/>
      <c r="Y201" s="25"/>
      <c r="Z201" s="25"/>
    </row>
    <row r="202" spans="1:26" s="23" customFormat="1" ht="19.7" customHeight="1" x14ac:dyDescent="0.2">
      <c r="A202" s="73" t="str">
        <f t="shared" si="40"/>
        <v>UMX4105</v>
      </c>
      <c r="B202" s="152" t="s">
        <v>155</v>
      </c>
      <c r="C202" s="152"/>
      <c r="D202" s="152"/>
      <c r="E202" s="152"/>
      <c r="F202" s="152"/>
      <c r="G202" s="152"/>
      <c r="H202" s="152"/>
      <c r="I202" s="152"/>
      <c r="J202" s="74">
        <f t="shared" si="41"/>
        <v>5</v>
      </c>
      <c r="K202" s="74">
        <f t="shared" si="42"/>
        <v>2</v>
      </c>
      <c r="L202" s="74">
        <f t="shared" si="43"/>
        <v>1</v>
      </c>
      <c r="M202" s="74">
        <f t="shared" si="44"/>
        <v>0</v>
      </c>
      <c r="N202" s="74">
        <f t="shared" si="45"/>
        <v>3</v>
      </c>
      <c r="O202" s="74">
        <f t="shared" si="46"/>
        <v>6</v>
      </c>
      <c r="P202" s="74">
        <f t="shared" si="47"/>
        <v>9</v>
      </c>
      <c r="Q202" s="75" t="str">
        <f t="shared" si="48"/>
        <v>E</v>
      </c>
      <c r="R202" s="75">
        <f t="shared" si="49"/>
        <v>0</v>
      </c>
      <c r="S202" s="75">
        <f t="shared" si="50"/>
        <v>0</v>
      </c>
      <c r="T202" s="75" t="str">
        <f t="shared" si="51"/>
        <v>DS</v>
      </c>
      <c r="U202" s="25"/>
      <c r="V202" s="25"/>
      <c r="W202" s="25"/>
      <c r="X202" s="25"/>
      <c r="Y202" s="25"/>
      <c r="Z202" s="25"/>
    </row>
    <row r="203" spans="1:26" s="23" customFormat="1" ht="28.35" customHeight="1" x14ac:dyDescent="0.2">
      <c r="A203" s="73" t="str">
        <f t="shared" si="40"/>
        <v>UMM4207</v>
      </c>
      <c r="B203" s="130" t="s">
        <v>159</v>
      </c>
      <c r="C203" s="187"/>
      <c r="D203" s="187"/>
      <c r="E203" s="187"/>
      <c r="F203" s="187"/>
      <c r="G203" s="187"/>
      <c r="H203" s="187"/>
      <c r="I203" s="188"/>
      <c r="J203" s="74">
        <f t="shared" si="41"/>
        <v>6</v>
      </c>
      <c r="K203" s="74">
        <f t="shared" si="42"/>
        <v>2</v>
      </c>
      <c r="L203" s="74">
        <f t="shared" si="43"/>
        <v>1</v>
      </c>
      <c r="M203" s="74">
        <f t="shared" si="44"/>
        <v>0</v>
      </c>
      <c r="N203" s="74">
        <f t="shared" si="45"/>
        <v>3</v>
      </c>
      <c r="O203" s="74">
        <f t="shared" si="46"/>
        <v>8</v>
      </c>
      <c r="P203" s="74">
        <f t="shared" si="47"/>
        <v>11</v>
      </c>
      <c r="Q203" s="75" t="str">
        <f t="shared" si="48"/>
        <v>E</v>
      </c>
      <c r="R203" s="75">
        <f t="shared" si="49"/>
        <v>0</v>
      </c>
      <c r="S203" s="75">
        <f t="shared" si="50"/>
        <v>0</v>
      </c>
      <c r="T203" s="75" t="str">
        <f t="shared" si="51"/>
        <v>DS</v>
      </c>
      <c r="U203" s="25"/>
      <c r="V203" s="25"/>
      <c r="W203" s="25"/>
      <c r="X203" s="25"/>
      <c r="Y203" s="25"/>
      <c r="Z203" s="25"/>
    </row>
    <row r="204" spans="1:26" s="23" customFormat="1" ht="28.35" customHeight="1" x14ac:dyDescent="0.2">
      <c r="A204" s="73" t="str">
        <f t="shared" si="40"/>
        <v>UMM4208</v>
      </c>
      <c r="B204" s="130" t="s">
        <v>161</v>
      </c>
      <c r="C204" s="187"/>
      <c r="D204" s="187"/>
      <c r="E204" s="187"/>
      <c r="F204" s="187"/>
      <c r="G204" s="187"/>
      <c r="H204" s="187"/>
      <c r="I204" s="188"/>
      <c r="J204" s="74">
        <f t="shared" si="41"/>
        <v>5</v>
      </c>
      <c r="K204" s="74">
        <f t="shared" si="42"/>
        <v>2</v>
      </c>
      <c r="L204" s="74">
        <f t="shared" si="43"/>
        <v>1</v>
      </c>
      <c r="M204" s="74">
        <f t="shared" si="44"/>
        <v>0</v>
      </c>
      <c r="N204" s="74">
        <f t="shared" si="45"/>
        <v>3</v>
      </c>
      <c r="O204" s="74">
        <f t="shared" si="46"/>
        <v>6</v>
      </c>
      <c r="P204" s="74">
        <f t="shared" si="47"/>
        <v>9</v>
      </c>
      <c r="Q204" s="75">
        <f t="shared" si="48"/>
        <v>0</v>
      </c>
      <c r="R204" s="75">
        <f t="shared" si="49"/>
        <v>0</v>
      </c>
      <c r="S204" s="75" t="str">
        <f t="shared" si="50"/>
        <v>VP</v>
      </c>
      <c r="T204" s="75" t="str">
        <f t="shared" si="51"/>
        <v>DS</v>
      </c>
      <c r="U204" s="25"/>
      <c r="V204" s="25"/>
      <c r="W204" s="25"/>
      <c r="X204" s="25"/>
      <c r="Y204" s="25"/>
      <c r="Z204" s="25"/>
    </row>
    <row r="205" spans="1:26" s="23" customFormat="1" ht="19.7" customHeight="1" x14ac:dyDescent="0.2">
      <c r="A205" s="73" t="str">
        <f t="shared" si="40"/>
        <v>UMM4210</v>
      </c>
      <c r="B205" s="130" t="s">
        <v>165</v>
      </c>
      <c r="C205" s="187"/>
      <c r="D205" s="187"/>
      <c r="E205" s="187"/>
      <c r="F205" s="187"/>
      <c r="G205" s="187"/>
      <c r="H205" s="187"/>
      <c r="I205" s="188"/>
      <c r="J205" s="74">
        <f t="shared" si="41"/>
        <v>3</v>
      </c>
      <c r="K205" s="74">
        <f t="shared" si="42"/>
        <v>0</v>
      </c>
      <c r="L205" s="79">
        <f t="shared" si="43"/>
        <v>2</v>
      </c>
      <c r="M205" s="43">
        <f t="shared" si="44"/>
        <v>0</v>
      </c>
      <c r="N205" s="74">
        <f t="shared" si="45"/>
        <v>2</v>
      </c>
      <c r="O205" s="74">
        <f t="shared" si="46"/>
        <v>3</v>
      </c>
      <c r="P205" s="74">
        <f t="shared" si="47"/>
        <v>5</v>
      </c>
      <c r="Q205" s="75">
        <f t="shared" si="48"/>
        <v>0</v>
      </c>
      <c r="R205" s="75">
        <f t="shared" si="49"/>
        <v>0</v>
      </c>
      <c r="S205" s="75" t="str">
        <f t="shared" si="50"/>
        <v>VP</v>
      </c>
      <c r="T205" s="75" t="str">
        <f t="shared" si="51"/>
        <v>DS</v>
      </c>
      <c r="U205" s="25"/>
      <c r="V205" s="25"/>
      <c r="W205" s="25"/>
      <c r="X205" s="25"/>
      <c r="Y205" s="25"/>
      <c r="Z205" s="25"/>
    </row>
    <row r="206" spans="1:26" s="23" customFormat="1" ht="19.7" customHeight="1" x14ac:dyDescent="0.2">
      <c r="A206" s="73" t="str">
        <f t="shared" si="40"/>
        <v>UMX4211</v>
      </c>
      <c r="B206" s="130" t="s">
        <v>167</v>
      </c>
      <c r="C206" s="187"/>
      <c r="D206" s="187"/>
      <c r="E206" s="187"/>
      <c r="F206" s="187"/>
      <c r="G206" s="187"/>
      <c r="H206" s="187"/>
      <c r="I206" s="188"/>
      <c r="J206" s="74">
        <f t="shared" si="41"/>
        <v>5</v>
      </c>
      <c r="K206" s="74">
        <f t="shared" si="42"/>
        <v>2</v>
      </c>
      <c r="L206" s="74">
        <f t="shared" si="43"/>
        <v>1</v>
      </c>
      <c r="M206" s="74">
        <f t="shared" si="44"/>
        <v>0</v>
      </c>
      <c r="N206" s="74">
        <f t="shared" si="45"/>
        <v>3</v>
      </c>
      <c r="O206" s="74">
        <f t="shared" si="46"/>
        <v>6</v>
      </c>
      <c r="P206" s="74">
        <f t="shared" si="47"/>
        <v>9</v>
      </c>
      <c r="Q206" s="75" t="str">
        <f t="shared" si="48"/>
        <v>E</v>
      </c>
      <c r="R206" s="75">
        <f t="shared" si="49"/>
        <v>0</v>
      </c>
      <c r="S206" s="75">
        <f t="shared" si="50"/>
        <v>0</v>
      </c>
      <c r="T206" s="75" t="str">
        <f t="shared" si="51"/>
        <v>DS</v>
      </c>
      <c r="U206" s="25"/>
      <c r="V206" s="25"/>
      <c r="W206" s="25"/>
      <c r="X206" s="25"/>
      <c r="Y206" s="25"/>
      <c r="Z206" s="25"/>
    </row>
    <row r="207" spans="1:26" s="23" customFormat="1" ht="28.35" customHeight="1" x14ac:dyDescent="0.2">
      <c r="A207" s="73" t="str">
        <f t="shared" si="40"/>
        <v>UMM4312</v>
      </c>
      <c r="B207" s="130" t="s">
        <v>169</v>
      </c>
      <c r="C207" s="187"/>
      <c r="D207" s="187"/>
      <c r="E207" s="187"/>
      <c r="F207" s="187"/>
      <c r="G207" s="187"/>
      <c r="H207" s="187"/>
      <c r="I207" s="188"/>
      <c r="J207" s="74">
        <f t="shared" si="41"/>
        <v>6</v>
      </c>
      <c r="K207" s="74">
        <f t="shared" si="42"/>
        <v>2</v>
      </c>
      <c r="L207" s="74">
        <f t="shared" si="43"/>
        <v>1</v>
      </c>
      <c r="M207" s="74">
        <f t="shared" si="44"/>
        <v>0</v>
      </c>
      <c r="N207" s="74">
        <f t="shared" si="45"/>
        <v>3</v>
      </c>
      <c r="O207" s="74">
        <f t="shared" si="46"/>
        <v>8</v>
      </c>
      <c r="P207" s="74">
        <f t="shared" si="47"/>
        <v>11</v>
      </c>
      <c r="Q207" s="75" t="str">
        <f t="shared" si="48"/>
        <v>E</v>
      </c>
      <c r="R207" s="75">
        <f t="shared" si="49"/>
        <v>0</v>
      </c>
      <c r="S207" s="75">
        <f t="shared" si="50"/>
        <v>0</v>
      </c>
      <c r="T207" s="75" t="str">
        <f t="shared" si="51"/>
        <v>DS</v>
      </c>
      <c r="U207" s="25"/>
      <c r="V207" s="25"/>
      <c r="W207" s="25"/>
      <c r="X207" s="25"/>
      <c r="Y207" s="25"/>
      <c r="Z207" s="25"/>
    </row>
    <row r="208" spans="1:26" s="23" customFormat="1" ht="28.35" customHeight="1" x14ac:dyDescent="0.2">
      <c r="A208" s="73" t="str">
        <f t="shared" si="40"/>
        <v>UMM4315</v>
      </c>
      <c r="B208" s="130" t="s">
        <v>175</v>
      </c>
      <c r="C208" s="187"/>
      <c r="D208" s="187"/>
      <c r="E208" s="187"/>
      <c r="F208" s="187"/>
      <c r="G208" s="187"/>
      <c r="H208" s="187"/>
      <c r="I208" s="188"/>
      <c r="J208" s="74">
        <f t="shared" si="41"/>
        <v>5</v>
      </c>
      <c r="K208" s="74">
        <f t="shared" si="42"/>
        <v>0</v>
      </c>
      <c r="L208" s="74">
        <f t="shared" si="43"/>
        <v>0</v>
      </c>
      <c r="M208" s="74">
        <f t="shared" si="44"/>
        <v>2</v>
      </c>
      <c r="N208" s="74">
        <f t="shared" si="45"/>
        <v>2</v>
      </c>
      <c r="O208" s="74">
        <f t="shared" si="46"/>
        <v>7</v>
      </c>
      <c r="P208" s="74">
        <f t="shared" si="47"/>
        <v>9</v>
      </c>
      <c r="Q208" s="75">
        <f t="shared" si="48"/>
        <v>0</v>
      </c>
      <c r="R208" s="75">
        <f t="shared" si="49"/>
        <v>0</v>
      </c>
      <c r="S208" s="75" t="str">
        <f t="shared" si="50"/>
        <v>VP</v>
      </c>
      <c r="T208" s="75" t="str">
        <f t="shared" si="51"/>
        <v>DS</v>
      </c>
      <c r="U208" s="25"/>
      <c r="V208" s="25"/>
      <c r="W208" s="25"/>
      <c r="X208" s="25"/>
      <c r="Y208" s="25"/>
      <c r="Z208" s="25"/>
    </row>
    <row r="209" spans="1:26" s="23" customFormat="1" ht="19.7" customHeight="1" x14ac:dyDescent="0.2">
      <c r="A209" s="73" t="str">
        <f t="shared" si="40"/>
        <v>UMM4316</v>
      </c>
      <c r="B209" s="130" t="s">
        <v>177</v>
      </c>
      <c r="C209" s="187"/>
      <c r="D209" s="187"/>
      <c r="E209" s="187"/>
      <c r="F209" s="187"/>
      <c r="G209" s="187"/>
      <c r="H209" s="187"/>
      <c r="I209" s="188"/>
      <c r="J209" s="74">
        <f t="shared" si="41"/>
        <v>3</v>
      </c>
      <c r="K209" s="74">
        <f t="shared" si="42"/>
        <v>0</v>
      </c>
      <c r="L209" s="79">
        <f t="shared" si="43"/>
        <v>2</v>
      </c>
      <c r="M209" s="43">
        <f t="shared" si="44"/>
        <v>0</v>
      </c>
      <c r="N209" s="74">
        <f t="shared" si="45"/>
        <v>2</v>
      </c>
      <c r="O209" s="74">
        <f t="shared" si="46"/>
        <v>3</v>
      </c>
      <c r="P209" s="74">
        <f t="shared" si="47"/>
        <v>5</v>
      </c>
      <c r="Q209" s="75">
        <f t="shared" si="48"/>
        <v>0</v>
      </c>
      <c r="R209" s="75">
        <f t="shared" si="49"/>
        <v>0</v>
      </c>
      <c r="S209" s="75" t="str">
        <f t="shared" si="50"/>
        <v>VP</v>
      </c>
      <c r="T209" s="75" t="str">
        <f t="shared" si="51"/>
        <v>DS</v>
      </c>
      <c r="U209" s="25"/>
      <c r="V209" s="25"/>
      <c r="W209" s="25"/>
      <c r="X209" s="25"/>
      <c r="Y209" s="25"/>
      <c r="Z209" s="25"/>
    </row>
    <row r="210" spans="1:26" s="23" customFormat="1" ht="19.7" customHeight="1" x14ac:dyDescent="0.2">
      <c r="A210" s="73" t="str">
        <f t="shared" si="40"/>
        <v>UMX4317</v>
      </c>
      <c r="B210" s="130" t="s">
        <v>179</v>
      </c>
      <c r="C210" s="187"/>
      <c r="D210" s="187"/>
      <c r="E210" s="187"/>
      <c r="F210" s="187"/>
      <c r="G210" s="187"/>
      <c r="H210" s="187"/>
      <c r="I210" s="188"/>
      <c r="J210" s="74">
        <f t="shared" si="41"/>
        <v>5</v>
      </c>
      <c r="K210" s="74">
        <f t="shared" si="42"/>
        <v>2</v>
      </c>
      <c r="L210" s="74">
        <f t="shared" si="43"/>
        <v>1</v>
      </c>
      <c r="M210" s="74">
        <f t="shared" si="44"/>
        <v>0</v>
      </c>
      <c r="N210" s="74">
        <f t="shared" si="45"/>
        <v>3</v>
      </c>
      <c r="O210" s="74">
        <f t="shared" si="46"/>
        <v>6</v>
      </c>
      <c r="P210" s="74">
        <f t="shared" si="47"/>
        <v>9</v>
      </c>
      <c r="Q210" s="75" t="str">
        <f t="shared" si="48"/>
        <v>E</v>
      </c>
      <c r="R210" s="75">
        <f t="shared" si="49"/>
        <v>0</v>
      </c>
      <c r="S210" s="75">
        <f t="shared" si="50"/>
        <v>0</v>
      </c>
      <c r="T210" s="75" t="str">
        <f t="shared" si="51"/>
        <v>DS</v>
      </c>
      <c r="U210" s="25"/>
      <c r="V210" s="25"/>
      <c r="W210" s="25"/>
      <c r="X210" s="25"/>
      <c r="Y210" s="25"/>
      <c r="Z210" s="25"/>
    </row>
    <row r="211" spans="1:26" ht="11.25" customHeight="1" x14ac:dyDescent="0.2">
      <c r="A211" s="9" t="s">
        <v>21</v>
      </c>
      <c r="B211" s="269"/>
      <c r="C211" s="270"/>
      <c r="D211" s="270"/>
      <c r="E211" s="270"/>
      <c r="F211" s="270"/>
      <c r="G211" s="270"/>
      <c r="H211" s="270"/>
      <c r="I211" s="271"/>
      <c r="J211" s="10">
        <f t="shared" ref="J211:P211" si="52">SUM(J199:J210)</f>
        <v>61</v>
      </c>
      <c r="K211" s="10">
        <f t="shared" si="52"/>
        <v>14</v>
      </c>
      <c r="L211" s="10">
        <f t="shared" si="52"/>
        <v>12</v>
      </c>
      <c r="M211" s="10">
        <f t="shared" si="52"/>
        <v>6</v>
      </c>
      <c r="N211" s="10">
        <f t="shared" si="52"/>
        <v>32</v>
      </c>
      <c r="O211" s="10">
        <f t="shared" si="52"/>
        <v>78</v>
      </c>
      <c r="P211" s="10">
        <f t="shared" si="52"/>
        <v>110</v>
      </c>
      <c r="Q211" s="9">
        <f>COUNTIF(Q199:Q210,"E")</f>
        <v>6</v>
      </c>
      <c r="R211" s="9">
        <f>COUNTIF(R199:R210,"C")</f>
        <v>2</v>
      </c>
      <c r="S211" s="9">
        <f>COUNTIF(S199:S210,"VP")</f>
        <v>4</v>
      </c>
      <c r="T211" s="7">
        <f>COUNTA(T199:T210)</f>
        <v>12</v>
      </c>
      <c r="U211" s="25"/>
      <c r="V211" s="25"/>
      <c r="W211" s="25"/>
      <c r="X211" s="25"/>
      <c r="Y211" s="25"/>
      <c r="Z211" s="25"/>
    </row>
    <row r="212" spans="1:26" ht="11.25" customHeight="1" x14ac:dyDescent="0.2">
      <c r="A212" s="153" t="s">
        <v>134</v>
      </c>
      <c r="B212" s="153"/>
      <c r="C212" s="153"/>
      <c r="D212" s="153"/>
      <c r="E212" s="153"/>
      <c r="F212" s="153"/>
      <c r="G212" s="153"/>
      <c r="H212" s="153"/>
      <c r="I212" s="153"/>
      <c r="J212" s="153"/>
      <c r="K212" s="153"/>
      <c r="L212" s="153"/>
      <c r="M212" s="153"/>
      <c r="N212" s="153"/>
      <c r="O212" s="153"/>
      <c r="P212" s="153"/>
      <c r="Q212" s="153"/>
      <c r="R212" s="153"/>
      <c r="S212" s="153"/>
      <c r="T212" s="153"/>
      <c r="U212" s="25"/>
      <c r="V212" s="25"/>
      <c r="W212" s="25"/>
      <c r="X212" s="25"/>
      <c r="Y212" s="25"/>
      <c r="Z212" s="25"/>
    </row>
    <row r="213" spans="1:26" s="23" customFormat="1" ht="28.35" customHeight="1" x14ac:dyDescent="0.2">
      <c r="A213" s="73" t="str">
        <f>IF(ISNA(INDEX($A$75:$T$148,MATCH($B213,$B$75:$B$148,0),1)),"",INDEX($A$75:$T$148,MATCH($B213,$B$75:$B$148,0),1))</f>
        <v>UMM4419</v>
      </c>
      <c r="B213" s="152" t="s">
        <v>183</v>
      </c>
      <c r="C213" s="152"/>
      <c r="D213" s="152"/>
      <c r="E213" s="152"/>
      <c r="F213" s="152"/>
      <c r="G213" s="152"/>
      <c r="H213" s="152"/>
      <c r="I213" s="152"/>
      <c r="J213" s="74">
        <f>IF(ISNA(INDEX($A$75:$T$148,MATCH($B213,$B$75:$B$148,0),10)),"",INDEX($A$75:$T$148,MATCH($B213,$B$75:$B$148,0),10))</f>
        <v>6</v>
      </c>
      <c r="K213" s="74">
        <f>IF(ISNA(INDEX($A$75:$T$148,MATCH($B213,$B$75:$B$148,0),11)),"",INDEX($A$75:$T$148,MATCH($B213,$B$75:$B$148,0),11))</f>
        <v>2</v>
      </c>
      <c r="L213" s="74">
        <f>IF(ISNA(INDEX($A$75:$T$148,MATCH($B213,$B$75:$B$148,0),12)),"",INDEX($A$75:$T$148,MATCH($B213,$B$75:$B$148,0),12))</f>
        <v>1</v>
      </c>
      <c r="M213" s="74">
        <f>IF(ISNA(INDEX($A$75:$T$148,MATCH($B213,$B$75:$B$148,0),13)),"",INDEX($A$75:$T$148,MATCH($B213,$B$75:$B$148,0),13))</f>
        <v>0</v>
      </c>
      <c r="N213" s="74">
        <f>IF(ISNA(INDEX($A$75:$T$148,MATCH($B213,$B$75:$B$148,0),14)),"",INDEX($A$75:$T$148,MATCH($B213,$B$75:$B$148,0),14))</f>
        <v>3</v>
      </c>
      <c r="O213" s="74">
        <f>IF(ISNA(INDEX($A$75:$T$148,MATCH($B213,$B$75:$B$148,0),15)),"",INDEX($A$75:$T$148,MATCH($B213,$B$75:$B$148,0),15))</f>
        <v>10</v>
      </c>
      <c r="P213" s="74">
        <f>IF(ISNA(INDEX($A$75:$T$148,MATCH($B213,$B$75:$B$148,0),16)),"",INDEX($A$75:$T$148,MATCH($B213,$B$75:$B$148,0),16))</f>
        <v>13</v>
      </c>
      <c r="Q213" s="75" t="str">
        <f>IF(ISNA(INDEX($A$75:$T$148,MATCH($B213,$B$75:$B$148,0),17)),"",INDEX($A$75:$T$148,MATCH($B213,$B$75:$B$148,0),17))</f>
        <v>E</v>
      </c>
      <c r="R213" s="75">
        <f>IF(ISNA(INDEX($A$75:$T$148,MATCH($B213,$B$75:$B$148,0),18)),"",INDEX($A$75:$T$148,MATCH($B213,$B$75:$B$148,0),18))</f>
        <v>0</v>
      </c>
      <c r="S213" s="75">
        <f>IF(ISNA(INDEX($A$75:$T$148,MATCH($B213,$B$75:$B$148,0),19)),"",INDEX($A$75:$T$148,MATCH($B213,$B$75:$B$148,0),19))</f>
        <v>0</v>
      </c>
      <c r="T213" s="75" t="str">
        <f>IF(ISNA(INDEX($A$75:$T$148,MATCH($B213,$B$75:$B$148,0),20)),"",INDEX($A$75:$T$148,MATCH($B213,$B$75:$B$148,0),20))</f>
        <v>DS</v>
      </c>
      <c r="U213" s="25"/>
      <c r="V213" s="25"/>
      <c r="W213" s="25"/>
      <c r="X213" s="25"/>
      <c r="Y213" s="25"/>
      <c r="Z213" s="25"/>
    </row>
    <row r="214" spans="1:26" s="23" customFormat="1" ht="19.7" customHeight="1" x14ac:dyDescent="0.2">
      <c r="A214" s="73" t="str">
        <f>IF(ISNA(INDEX($A$75:$T$148,MATCH($B214,$B$75:$B$148,0),1)),"",INDEX($A$75:$T$148,MATCH($B214,$B$75:$B$148,0),1))</f>
        <v>UMM4420</v>
      </c>
      <c r="B214" s="152" t="s">
        <v>185</v>
      </c>
      <c r="C214" s="152"/>
      <c r="D214" s="152"/>
      <c r="E214" s="152"/>
      <c r="F214" s="152"/>
      <c r="G214" s="152"/>
      <c r="H214" s="152"/>
      <c r="I214" s="152"/>
      <c r="J214" s="74">
        <f>IF(ISNA(INDEX($A$75:$T$148,MATCH($B214,$B$75:$B$148,0),10)),"",INDEX($A$75:$T$148,MATCH($B214,$B$75:$B$148,0),10))</f>
        <v>6</v>
      </c>
      <c r="K214" s="74">
        <f>IF(ISNA(INDEX($A$75:$T$148,MATCH($B214,$B$75:$B$148,0),11)),"",INDEX($A$75:$T$148,MATCH($B214,$B$75:$B$148,0),11))</f>
        <v>0</v>
      </c>
      <c r="L214" s="74">
        <f>IF(ISNA(INDEX($A$75:$T$148,MATCH($B214,$B$75:$B$148,0),12)),"",INDEX($A$75:$T$148,MATCH($B214,$B$75:$B$148,0),12))</f>
        <v>0</v>
      </c>
      <c r="M214" s="43">
        <f>IF(ISNA(INDEX($A$75:$T$148,MATCH($B214,$B$75:$B$148,0),13)),"",INDEX($A$75:$T$148,MATCH($B214,$B$75:$B$148,0),13))</f>
        <v>2</v>
      </c>
      <c r="N214" s="74">
        <f>IF(ISNA(INDEX($A$75:$T$148,MATCH($B214,$B$75:$B$148,0),14)),"",INDEX($A$75:$T$148,MATCH($B214,$B$75:$B$148,0),14))</f>
        <v>2</v>
      </c>
      <c r="O214" s="74">
        <f>IF(ISNA(INDEX($A$75:$T$148,MATCH($B214,$B$75:$B$148,0),15)),"",INDEX($A$75:$T$148,MATCH($B214,$B$75:$B$148,0),15))</f>
        <v>11</v>
      </c>
      <c r="P214" s="74">
        <f>IF(ISNA(INDEX($A$75:$T$148,MATCH($B214,$B$75:$B$148,0),16)),"",INDEX($A$75:$T$148,MATCH($B214,$B$75:$B$148,0),16))</f>
        <v>13</v>
      </c>
      <c r="Q214" s="75">
        <f>IF(ISNA(INDEX($A$75:$T$148,MATCH($B214,$B$75:$B$148,0),17)),"",INDEX($A$75:$T$148,MATCH($B214,$B$75:$B$148,0),17))</f>
        <v>0</v>
      </c>
      <c r="R214" s="75" t="str">
        <f>IF(ISNA(INDEX($A$75:$T$148,MATCH($B214,$B$75:$B$148,0),18)),"",INDEX($A$75:$T$148,MATCH($B214,$B$75:$B$148,0),18))</f>
        <v>C</v>
      </c>
      <c r="S214" s="75">
        <f>IF(ISNA(INDEX($A$75:$T$148,MATCH($B214,$B$75:$B$148,0),19)),"",INDEX($A$75:$T$148,MATCH($B214,$B$75:$B$148,0),19))</f>
        <v>0</v>
      </c>
      <c r="T214" s="75" t="str">
        <f>IF(ISNA(INDEX($A$75:$T$148,MATCH($B214,$B$75:$B$148,0),20)),"",INDEX($A$75:$T$148,MATCH($B214,$B$75:$B$148,0),20))</f>
        <v>DS</v>
      </c>
      <c r="U214" s="25"/>
      <c r="V214" s="25"/>
      <c r="W214" s="25"/>
      <c r="X214" s="25"/>
      <c r="Y214" s="25"/>
      <c r="Z214" s="25"/>
    </row>
    <row r="215" spans="1:26" s="23" customFormat="1" ht="19.7" customHeight="1" x14ac:dyDescent="0.2">
      <c r="A215" s="73" t="str">
        <f>IF(ISNA(INDEX($A$75:$T$148,MATCH($B215,$B$75:$B$148,0),1)),"",INDEX($A$75:$T$148,MATCH($B215,$B$75:$B$148,0),1))</f>
        <v>UMX4422</v>
      </c>
      <c r="B215" s="152" t="s">
        <v>189</v>
      </c>
      <c r="C215" s="152"/>
      <c r="D215" s="152"/>
      <c r="E215" s="152"/>
      <c r="F215" s="152"/>
      <c r="G215" s="152"/>
      <c r="H215" s="152"/>
      <c r="I215" s="152"/>
      <c r="J215" s="74">
        <f>IF(ISNA(INDEX($A$75:$T$148,MATCH($B215,$B$75:$B$148,0),10)),"",INDEX($A$75:$T$148,MATCH($B215,$B$75:$B$148,0),10))</f>
        <v>5</v>
      </c>
      <c r="K215" s="74">
        <f>IF(ISNA(INDEX($A$75:$T$148,MATCH($B215,$B$75:$B$148,0),11)),"",INDEX($A$75:$T$148,MATCH($B215,$B$75:$B$148,0),11))</f>
        <v>2</v>
      </c>
      <c r="L215" s="74">
        <f>IF(ISNA(INDEX($A$75:$T$148,MATCH($B215,$B$75:$B$148,0),12)),"",INDEX($A$75:$T$148,MATCH($B215,$B$75:$B$148,0),12))</f>
        <v>1</v>
      </c>
      <c r="M215" s="74">
        <f>IF(ISNA(INDEX($A$75:$T$148,MATCH($B215,$B$75:$B$148,0),13)),"",INDEX($A$75:$T$148,MATCH($B215,$B$75:$B$148,0),13))</f>
        <v>0</v>
      </c>
      <c r="N215" s="74">
        <f>IF(ISNA(INDEX($A$75:$T$148,MATCH($B215,$B$75:$B$148,0),14)),"",INDEX($A$75:$T$148,MATCH($B215,$B$75:$B$148,0),14))</f>
        <v>3</v>
      </c>
      <c r="O215" s="74">
        <f>IF(ISNA(INDEX($A$75:$T$148,MATCH($B215,$B$75:$B$148,0),15)),"",INDEX($A$75:$T$148,MATCH($B215,$B$75:$B$148,0),15))</f>
        <v>7</v>
      </c>
      <c r="P215" s="74">
        <f>IF(ISNA(INDEX($A$75:$T$148,MATCH($B215,$B$75:$B$148,0),16)),"",INDEX($A$75:$T$148,MATCH($B215,$B$75:$B$148,0),16))</f>
        <v>10</v>
      </c>
      <c r="Q215" s="75" t="str">
        <f>IF(ISNA(INDEX($A$75:$T$148,MATCH($B215,$B$75:$B$148,0),17)),"",INDEX($A$75:$T$148,MATCH($B215,$B$75:$B$148,0),17))</f>
        <v>E</v>
      </c>
      <c r="R215" s="75">
        <f>IF(ISNA(INDEX($A$75:$T$148,MATCH($B215,$B$75:$B$148,0),18)),"",INDEX($A$75:$T$148,MATCH($B215,$B$75:$B$148,0),18))</f>
        <v>0</v>
      </c>
      <c r="S215" s="75">
        <f>IF(ISNA(INDEX($A$75:$T$148,MATCH($B215,$B$75:$B$148,0),19)),"",INDEX($A$75:$T$148,MATCH($B215,$B$75:$B$148,0),19))</f>
        <v>0</v>
      </c>
      <c r="T215" s="75" t="str">
        <f>IF(ISNA(INDEX($A$75:$T$148,MATCH($B215,$B$75:$B$148,0),20)),"",INDEX($A$75:$T$148,MATCH($B215,$B$75:$B$148,0),20))</f>
        <v>DS</v>
      </c>
      <c r="U215" s="25"/>
      <c r="V215" s="25"/>
      <c r="W215" s="25"/>
      <c r="X215" s="25"/>
      <c r="Y215" s="25"/>
      <c r="Z215" s="25"/>
    </row>
    <row r="216" spans="1:26" ht="11.25" customHeight="1" x14ac:dyDescent="0.2">
      <c r="A216" s="9" t="s">
        <v>21</v>
      </c>
      <c r="B216" s="153"/>
      <c r="C216" s="153"/>
      <c r="D216" s="153"/>
      <c r="E216" s="153"/>
      <c r="F216" s="153"/>
      <c r="G216" s="153"/>
      <c r="H216" s="153"/>
      <c r="I216" s="153"/>
      <c r="J216" s="10">
        <f t="shared" ref="J216:P216" si="53">SUM(J213:J215)</f>
        <v>17</v>
      </c>
      <c r="K216" s="10">
        <f t="shared" si="53"/>
        <v>4</v>
      </c>
      <c r="L216" s="10">
        <f t="shared" si="53"/>
        <v>2</v>
      </c>
      <c r="M216" s="10">
        <f t="shared" si="53"/>
        <v>2</v>
      </c>
      <c r="N216" s="10">
        <f t="shared" si="53"/>
        <v>8</v>
      </c>
      <c r="O216" s="10">
        <f t="shared" si="53"/>
        <v>28</v>
      </c>
      <c r="P216" s="10">
        <f t="shared" si="53"/>
        <v>36</v>
      </c>
      <c r="Q216" s="9">
        <f>COUNTIF(Q213:Q215,"E")</f>
        <v>2</v>
      </c>
      <c r="R216" s="9">
        <f>COUNTIF(R213:R215,"C")</f>
        <v>1</v>
      </c>
      <c r="S216" s="9">
        <f>COUNTIF(S213:S215,"VP")</f>
        <v>0</v>
      </c>
      <c r="T216" s="7">
        <f>COUNTA(T213:T215)</f>
        <v>3</v>
      </c>
      <c r="U216" s="25"/>
      <c r="V216" s="25"/>
      <c r="W216" s="25"/>
      <c r="X216" s="25"/>
      <c r="Y216" s="25"/>
      <c r="Z216" s="25"/>
    </row>
    <row r="217" spans="1:26" ht="11.25" customHeight="1" x14ac:dyDescent="0.2">
      <c r="A217" s="155" t="s">
        <v>79</v>
      </c>
      <c r="B217" s="155"/>
      <c r="C217" s="155"/>
      <c r="D217" s="155"/>
      <c r="E217" s="155"/>
      <c r="F217" s="155"/>
      <c r="G217" s="155"/>
      <c r="H217" s="155"/>
      <c r="I217" s="155"/>
      <c r="J217" s="10">
        <f t="shared" ref="J217:T217" si="54">SUM(J211,J216)</f>
        <v>78</v>
      </c>
      <c r="K217" s="10">
        <f t="shared" si="54"/>
        <v>18</v>
      </c>
      <c r="L217" s="10">
        <f t="shared" si="54"/>
        <v>14</v>
      </c>
      <c r="M217" s="10">
        <f t="shared" si="54"/>
        <v>8</v>
      </c>
      <c r="N217" s="10">
        <f t="shared" si="54"/>
        <v>40</v>
      </c>
      <c r="O217" s="10">
        <f t="shared" si="54"/>
        <v>106</v>
      </c>
      <c r="P217" s="10">
        <f t="shared" si="54"/>
        <v>146</v>
      </c>
      <c r="Q217" s="10">
        <f t="shared" si="54"/>
        <v>8</v>
      </c>
      <c r="R217" s="10">
        <f t="shared" si="54"/>
        <v>3</v>
      </c>
      <c r="S217" s="10">
        <f t="shared" si="54"/>
        <v>4</v>
      </c>
      <c r="T217" s="31">
        <f t="shared" si="54"/>
        <v>15</v>
      </c>
      <c r="U217" s="25"/>
      <c r="V217" s="25"/>
      <c r="W217" s="25"/>
      <c r="X217" s="25"/>
      <c r="Y217" s="25"/>
      <c r="Z217" s="25"/>
    </row>
    <row r="218" spans="1:26" ht="11.25" customHeight="1" x14ac:dyDescent="0.2">
      <c r="A218" s="155" t="s">
        <v>42</v>
      </c>
      <c r="B218" s="155"/>
      <c r="C218" s="155"/>
      <c r="D218" s="155"/>
      <c r="E218" s="155"/>
      <c r="F218" s="155"/>
      <c r="G218" s="155"/>
      <c r="H218" s="155"/>
      <c r="I218" s="155"/>
      <c r="J218" s="155"/>
      <c r="K218" s="10">
        <f t="shared" ref="K218:P218" si="55">K211*14+K216*12</f>
        <v>244</v>
      </c>
      <c r="L218" s="10">
        <f t="shared" si="55"/>
        <v>192</v>
      </c>
      <c r="M218" s="10">
        <f t="shared" si="55"/>
        <v>108</v>
      </c>
      <c r="N218" s="10">
        <f t="shared" si="55"/>
        <v>544</v>
      </c>
      <c r="O218" s="10">
        <f t="shared" si="55"/>
        <v>1428</v>
      </c>
      <c r="P218" s="10">
        <f t="shared" si="55"/>
        <v>1972</v>
      </c>
      <c r="Q218" s="203"/>
      <c r="R218" s="203"/>
      <c r="S218" s="203"/>
      <c r="T218" s="203"/>
    </row>
    <row r="219" spans="1:26" ht="11.25" customHeight="1" x14ac:dyDescent="0.2">
      <c r="A219" s="155"/>
      <c r="B219" s="155"/>
      <c r="C219" s="155"/>
      <c r="D219" s="155"/>
      <c r="E219" s="155"/>
      <c r="F219" s="155"/>
      <c r="G219" s="155"/>
      <c r="H219" s="155"/>
      <c r="I219" s="155"/>
      <c r="J219" s="155"/>
      <c r="K219" s="180">
        <f>SUM(K218:M218)</f>
        <v>544</v>
      </c>
      <c r="L219" s="180"/>
      <c r="M219" s="180"/>
      <c r="N219" s="180">
        <f>SUM(N218:O218)</f>
        <v>1972</v>
      </c>
      <c r="O219" s="180"/>
      <c r="P219" s="180"/>
      <c r="Q219" s="203"/>
      <c r="R219" s="203"/>
      <c r="S219" s="203"/>
      <c r="T219" s="203"/>
    </row>
    <row r="220" spans="1:26" ht="11.25" customHeight="1" x14ac:dyDescent="0.2">
      <c r="A220" s="219" t="s">
        <v>65</v>
      </c>
      <c r="B220" s="226"/>
      <c r="C220" s="226"/>
      <c r="D220" s="226"/>
      <c r="E220" s="226"/>
      <c r="F220" s="226"/>
      <c r="G220" s="226"/>
      <c r="H220" s="226"/>
      <c r="I220" s="226"/>
      <c r="J220" s="220"/>
      <c r="K220" s="201">
        <f>T217/SUM(T85,T99,T111,T124)</f>
        <v>0.68181818181818177</v>
      </c>
      <c r="L220" s="201"/>
      <c r="M220" s="201"/>
      <c r="N220" s="201"/>
      <c r="O220" s="201"/>
      <c r="P220" s="201"/>
      <c r="Q220" s="201"/>
      <c r="R220" s="201"/>
      <c r="S220" s="201"/>
      <c r="T220" s="201"/>
    </row>
    <row r="221" spans="1:26" ht="11.25" customHeight="1" x14ac:dyDescent="0.2">
      <c r="A221" s="227" t="s">
        <v>66</v>
      </c>
      <c r="B221" s="227"/>
      <c r="C221" s="227"/>
      <c r="D221" s="227"/>
      <c r="E221" s="227"/>
      <c r="F221" s="227"/>
      <c r="G221" s="227"/>
      <c r="H221" s="227"/>
      <c r="I221" s="227"/>
      <c r="J221" s="227"/>
      <c r="K221" s="201">
        <f>K219/(SUM(N85,N99,N111)*14+N124*12)</f>
        <v>0.66995073891625612</v>
      </c>
      <c r="L221" s="201"/>
      <c r="M221" s="201"/>
      <c r="N221" s="201"/>
      <c r="O221" s="201"/>
      <c r="P221" s="201"/>
      <c r="Q221" s="201"/>
      <c r="R221" s="201"/>
      <c r="S221" s="201"/>
      <c r="T221" s="201"/>
    </row>
    <row r="222" spans="1:26" ht="14.1" customHeight="1" x14ac:dyDescent="0.2">
      <c r="A222" s="243" t="s">
        <v>136</v>
      </c>
      <c r="B222" s="244"/>
      <c r="C222" s="244"/>
      <c r="D222" s="244"/>
      <c r="E222" s="244"/>
      <c r="F222" s="244"/>
      <c r="G222" s="244"/>
      <c r="H222" s="244"/>
      <c r="I222" s="244"/>
      <c r="J222" s="244"/>
      <c r="K222" s="244"/>
      <c r="L222" s="244"/>
      <c r="M222" s="244"/>
      <c r="N222" s="244"/>
      <c r="O222" s="244"/>
      <c r="P222" s="244"/>
      <c r="Q222" s="244"/>
      <c r="R222" s="244"/>
      <c r="S222" s="244"/>
      <c r="T222" s="245"/>
    </row>
    <row r="223" spans="1:26" ht="14.1" customHeight="1" x14ac:dyDescent="0.2">
      <c r="A223" s="246"/>
      <c r="B223" s="247"/>
      <c r="C223" s="247"/>
      <c r="D223" s="247"/>
      <c r="E223" s="247"/>
      <c r="F223" s="247"/>
      <c r="G223" s="247"/>
      <c r="H223" s="247"/>
      <c r="I223" s="247"/>
      <c r="J223" s="247"/>
      <c r="K223" s="247"/>
      <c r="L223" s="247"/>
      <c r="M223" s="247"/>
      <c r="N223" s="247"/>
      <c r="O223" s="247"/>
      <c r="P223" s="247"/>
      <c r="Q223" s="247"/>
      <c r="R223" s="247"/>
      <c r="S223" s="247"/>
      <c r="T223" s="248"/>
    </row>
    <row r="224" spans="1:26" ht="14.1" customHeight="1" x14ac:dyDescent="0.2">
      <c r="A224" s="153" t="s">
        <v>23</v>
      </c>
      <c r="B224" s="153" t="s">
        <v>22</v>
      </c>
      <c r="C224" s="153"/>
      <c r="D224" s="153"/>
      <c r="E224" s="153"/>
      <c r="F224" s="153"/>
      <c r="G224" s="153"/>
      <c r="H224" s="153"/>
      <c r="I224" s="153"/>
      <c r="J224" s="154" t="s">
        <v>34</v>
      </c>
      <c r="K224" s="181" t="s">
        <v>20</v>
      </c>
      <c r="L224" s="182"/>
      <c r="M224" s="183"/>
      <c r="N224" s="181" t="s">
        <v>35</v>
      </c>
      <c r="O224" s="182"/>
      <c r="P224" s="183"/>
      <c r="Q224" s="181" t="s">
        <v>19</v>
      </c>
      <c r="R224" s="182"/>
      <c r="S224" s="183"/>
      <c r="T224" s="154" t="s">
        <v>18</v>
      </c>
    </row>
    <row r="225" spans="1:26" ht="14.1" customHeight="1" x14ac:dyDescent="0.2">
      <c r="A225" s="153"/>
      <c r="B225" s="153"/>
      <c r="C225" s="153"/>
      <c r="D225" s="153"/>
      <c r="E225" s="153"/>
      <c r="F225" s="153"/>
      <c r="G225" s="153"/>
      <c r="H225" s="153"/>
      <c r="I225" s="153"/>
      <c r="J225" s="154"/>
      <c r="K225" s="184"/>
      <c r="L225" s="185"/>
      <c r="M225" s="186"/>
      <c r="N225" s="184"/>
      <c r="O225" s="185"/>
      <c r="P225" s="186"/>
      <c r="Q225" s="184"/>
      <c r="R225" s="185"/>
      <c r="S225" s="186"/>
      <c r="T225" s="154"/>
    </row>
    <row r="226" spans="1:26" ht="14.1" customHeight="1" x14ac:dyDescent="0.2">
      <c r="A226" s="153"/>
      <c r="B226" s="153"/>
      <c r="C226" s="153"/>
      <c r="D226" s="153"/>
      <c r="E226" s="153"/>
      <c r="F226" s="153"/>
      <c r="G226" s="153"/>
      <c r="H226" s="153"/>
      <c r="I226" s="153"/>
      <c r="J226" s="154"/>
      <c r="K226" s="15" t="s">
        <v>24</v>
      </c>
      <c r="L226" s="15" t="s">
        <v>25</v>
      </c>
      <c r="M226" s="15" t="s">
        <v>26</v>
      </c>
      <c r="N226" s="15" t="s">
        <v>30</v>
      </c>
      <c r="O226" s="15" t="s">
        <v>5</v>
      </c>
      <c r="P226" s="15" t="s">
        <v>27</v>
      </c>
      <c r="Q226" s="15" t="s">
        <v>28</v>
      </c>
      <c r="R226" s="15" t="s">
        <v>24</v>
      </c>
      <c r="S226" s="15" t="s">
        <v>29</v>
      </c>
      <c r="T226" s="154"/>
    </row>
    <row r="227" spans="1:26" ht="14.1" customHeight="1" x14ac:dyDescent="0.2">
      <c r="A227" s="153" t="s">
        <v>135</v>
      </c>
      <c r="B227" s="153"/>
      <c r="C227" s="153"/>
      <c r="D227" s="153"/>
      <c r="E227" s="153"/>
      <c r="F227" s="153"/>
      <c r="G227" s="153"/>
      <c r="H227" s="153"/>
      <c r="I227" s="153"/>
      <c r="J227" s="153"/>
      <c r="K227" s="153"/>
      <c r="L227" s="153"/>
      <c r="M227" s="153"/>
      <c r="N227" s="153"/>
      <c r="O227" s="153"/>
      <c r="P227" s="153"/>
      <c r="Q227" s="153"/>
      <c r="R227" s="153"/>
      <c r="S227" s="153"/>
      <c r="T227" s="153"/>
    </row>
    <row r="228" spans="1:26" ht="28.35" customHeight="1" x14ac:dyDescent="0.2">
      <c r="A228" s="16" t="str">
        <f>IF(ISNA(INDEX($A$75:$T$148,MATCH($B228,$B$75:$B$148,0),1)),"",INDEX($A$75:$T$148,MATCH($B228,$B$75:$B$148,0),1))</f>
        <v>UMM4209</v>
      </c>
      <c r="B228" s="130" t="s">
        <v>163</v>
      </c>
      <c r="C228" s="131"/>
      <c r="D228" s="131"/>
      <c r="E228" s="131"/>
      <c r="F228" s="131"/>
      <c r="G228" s="131"/>
      <c r="H228" s="131"/>
      <c r="I228" s="132"/>
      <c r="J228" s="8">
        <f>IF(ISNA(INDEX($A$75:$T$148,MATCH($B228,$B$75:$B$148,0),10)),"",INDEX($A$75:$T$148,MATCH($B228,$B$75:$B$148,0),10))</f>
        <v>5</v>
      </c>
      <c r="K228" s="8">
        <f>IF(ISNA(INDEX($A$75:$T$148,MATCH($B228,$B$75:$B$148,0),11)),"",INDEX($A$75:$T$148,MATCH($B228,$B$75:$B$148,0),11))</f>
        <v>0</v>
      </c>
      <c r="L228" s="8">
        <f>IF(ISNA(INDEX($A$75:$T$148,MATCH($B228,$B$75:$B$148,0),12)),"",INDEX($A$75:$T$148,MATCH($B228,$B$75:$B$148,0),12))</f>
        <v>0</v>
      </c>
      <c r="M228" s="80">
        <f>IF(ISNA(INDEX($A$75:$T$148,MATCH($B228,$B$75:$B$148,0),13)),"",INDEX($A$75:$T$148,MATCH($B228,$B$75:$B$148,0),13))</f>
        <v>2</v>
      </c>
      <c r="N228" s="8">
        <f>IF(ISNA(INDEX($A$75:$T$148,MATCH($B228,$B$75:$B$148,0),14)),"",INDEX($A$75:$T$148,MATCH($B228,$B$75:$B$148,0),14))</f>
        <v>2</v>
      </c>
      <c r="O228" s="8">
        <f>IF(ISNA(INDEX($A$75:$T$148,MATCH($B228,$B$75:$B$148,0),15)),"",INDEX($A$75:$T$148,MATCH($B228,$B$75:$B$148,0),15))</f>
        <v>7</v>
      </c>
      <c r="P228" s="8">
        <f>IF(ISNA(INDEX($A$75:$T$148,MATCH($B228,$B$75:$B$148,0),16)),"",INDEX($A$75:$T$148,MATCH($B228,$B$75:$B$148,0),16))</f>
        <v>9</v>
      </c>
      <c r="Q228" s="14">
        <f>IF(ISNA(INDEX($A$75:$T$148,MATCH($B228,$B$75:$B$148,0),17)),"",INDEX($A$75:$T$148,MATCH($B228,$B$75:$B$148,0),17))</f>
        <v>0</v>
      </c>
      <c r="R228" s="14" t="str">
        <f>IF(ISNA(INDEX($A$75:$T$148,MATCH($B228,$B$75:$B$148,0),18)),"",INDEX($A$75:$T$148,MATCH($B228,$B$75:$B$148,0),18))</f>
        <v>C</v>
      </c>
      <c r="S228" s="14">
        <f>IF(ISNA(INDEX($A$75:$T$148,MATCH($B228,$B$75:$B$148,0),19)),"",INDEX($A$75:$T$148,MATCH($B228,$B$75:$B$148,0),19))</f>
        <v>0</v>
      </c>
      <c r="T228" s="14" t="str">
        <f>IF(ISNA(INDEX($A$75:$T$148,MATCH($B228,$B$75:$B$148,0),20)),"",INDEX($A$75:$T$148,MATCH($B228,$B$75:$B$148,0),20))</f>
        <v>DC</v>
      </c>
    </row>
    <row r="229" spans="1:26" ht="28.35" customHeight="1" x14ac:dyDescent="0.2">
      <c r="A229" s="16" t="str">
        <f>IF(ISNA(INDEX($A$75:$T$148,MATCH($B229,$B$75:$B$148,0),1)),"",INDEX($A$75:$T$148,MATCH($B229,$B$75:$B$148,0),1))</f>
        <v>UMM4313</v>
      </c>
      <c r="B229" s="130" t="s">
        <v>171</v>
      </c>
      <c r="C229" s="131"/>
      <c r="D229" s="131"/>
      <c r="E229" s="131"/>
      <c r="F229" s="131"/>
      <c r="G229" s="131"/>
      <c r="H229" s="131"/>
      <c r="I229" s="132"/>
      <c r="J229" s="8">
        <f>IF(ISNA(INDEX($A$75:$T$148,MATCH($B229,$B$75:$B$148,0),10)),"",INDEX($A$75:$T$148,MATCH($B229,$B$75:$B$148,0),10))</f>
        <v>5</v>
      </c>
      <c r="K229" s="8">
        <f>IF(ISNA(INDEX($A$75:$T$148,MATCH($B229,$B$75:$B$148,0),11)),"",INDEX($A$75:$T$148,MATCH($B229,$B$75:$B$148,0),11))</f>
        <v>2</v>
      </c>
      <c r="L229" s="8">
        <f>IF(ISNA(INDEX($A$75:$T$148,MATCH($B229,$B$75:$B$148,0),12)),"",INDEX($A$75:$T$148,MATCH($B229,$B$75:$B$148,0),12))</f>
        <v>1</v>
      </c>
      <c r="M229" s="8">
        <f>IF(ISNA(INDEX($A$75:$T$148,MATCH($B229,$B$75:$B$148,0),13)),"",INDEX($A$75:$T$148,MATCH($B229,$B$75:$B$148,0),13))</f>
        <v>0</v>
      </c>
      <c r="N229" s="8">
        <f>IF(ISNA(INDEX($A$75:$T$148,MATCH($B229,$B$75:$B$148,0),14)),"",INDEX($A$75:$T$148,MATCH($B229,$B$75:$B$148,0),14))</f>
        <v>3</v>
      </c>
      <c r="O229" s="8">
        <f>IF(ISNA(INDEX($A$75:$T$148,MATCH($B229,$B$75:$B$148,0),15)),"",INDEX($A$75:$T$148,MATCH($B229,$B$75:$B$148,0),15))</f>
        <v>6</v>
      </c>
      <c r="P229" s="8">
        <f>IF(ISNA(INDEX($A$75:$T$148,MATCH($B229,$B$75:$B$148,0),16)),"",INDEX($A$75:$T$148,MATCH($B229,$B$75:$B$148,0),16))</f>
        <v>9</v>
      </c>
      <c r="Q229" s="14">
        <f>IF(ISNA(INDEX($A$75:$T$148,MATCH($B229,$B$75:$B$148,0),17)),"",INDEX($A$75:$T$148,MATCH($B229,$B$75:$B$148,0),17))</f>
        <v>0</v>
      </c>
      <c r="R229" s="14" t="str">
        <f>IF(ISNA(INDEX($A$75:$T$148,MATCH($B229,$B$75:$B$148,0),18)),"",INDEX($A$75:$T$148,MATCH($B229,$B$75:$B$148,0),18))</f>
        <v>C</v>
      </c>
      <c r="S229" s="14">
        <f>IF(ISNA(INDEX($A$75:$T$148,MATCH($B229,$B$75:$B$148,0),19)),"",INDEX($A$75:$T$148,MATCH($B229,$B$75:$B$148,0),19))</f>
        <v>0</v>
      </c>
      <c r="T229" s="14" t="str">
        <f>IF(ISNA(INDEX($A$75:$T$148,MATCH($B229,$B$75:$B$148,0),20)),"",INDEX($A$75:$T$148,MATCH($B229,$B$75:$B$148,0),20))</f>
        <v>DC</v>
      </c>
    </row>
    <row r="230" spans="1:26" ht="14.1" customHeight="1" x14ac:dyDescent="0.25">
      <c r="A230" s="155" t="s">
        <v>79</v>
      </c>
      <c r="B230" s="155"/>
      <c r="C230" s="155"/>
      <c r="D230" s="155"/>
      <c r="E230" s="155"/>
      <c r="F230" s="155"/>
      <c r="G230" s="155"/>
      <c r="H230" s="155"/>
      <c r="I230" s="155"/>
      <c r="J230" s="68">
        <f t="shared" ref="J230:P230" si="56">SUM(J228:J229)</f>
        <v>10</v>
      </c>
      <c r="K230" s="68">
        <f t="shared" si="56"/>
        <v>2</v>
      </c>
      <c r="L230" s="68">
        <f t="shared" si="56"/>
        <v>1</v>
      </c>
      <c r="M230" s="68">
        <f t="shared" si="56"/>
        <v>2</v>
      </c>
      <c r="N230" s="68">
        <f t="shared" si="56"/>
        <v>5</v>
      </c>
      <c r="O230" s="68">
        <f t="shared" si="56"/>
        <v>13</v>
      </c>
      <c r="P230" s="68">
        <f t="shared" si="56"/>
        <v>18</v>
      </c>
      <c r="Q230" s="76">
        <f>COUNTIF(Q228:Q229,"E")</f>
        <v>0</v>
      </c>
      <c r="R230" s="76">
        <f>COUNTIF(R228:R229,"C")</f>
        <v>2</v>
      </c>
      <c r="S230" s="76">
        <f>COUNTIF(S228:S229,"VP")</f>
        <v>0</v>
      </c>
      <c r="T230" s="76">
        <f>COUNTA(T228:T229)</f>
        <v>2</v>
      </c>
      <c r="U230" s="77" t="s">
        <v>234</v>
      </c>
      <c r="V230" s="77"/>
      <c r="W230"/>
      <c r="X230"/>
      <c r="Y230"/>
      <c r="Z230"/>
    </row>
    <row r="231" spans="1:26" ht="14.1" customHeight="1" x14ac:dyDescent="0.25">
      <c r="A231" s="279" t="s">
        <v>42</v>
      </c>
      <c r="B231" s="280"/>
      <c r="C231" s="280"/>
      <c r="D231" s="280"/>
      <c r="E231" s="280"/>
      <c r="F231" s="280"/>
      <c r="G231" s="280"/>
      <c r="H231" s="280"/>
      <c r="I231" s="280"/>
      <c r="J231" s="281"/>
      <c r="K231" s="68">
        <f>K230*14</f>
        <v>28</v>
      </c>
      <c r="L231" s="68">
        <f t="shared" ref="L231:P231" si="57">L230*14</f>
        <v>14</v>
      </c>
      <c r="M231" s="68">
        <f t="shared" si="57"/>
        <v>28</v>
      </c>
      <c r="N231" s="68">
        <f t="shared" si="57"/>
        <v>70</v>
      </c>
      <c r="O231" s="68">
        <f t="shared" si="57"/>
        <v>182</v>
      </c>
      <c r="P231" s="68">
        <f t="shared" si="57"/>
        <v>252</v>
      </c>
      <c r="Q231" s="228"/>
      <c r="R231" s="229"/>
      <c r="S231" s="229"/>
      <c r="T231" s="230"/>
      <c r="U231"/>
      <c r="V231"/>
      <c r="W231"/>
      <c r="X231"/>
      <c r="Y231"/>
      <c r="Z231"/>
    </row>
    <row r="232" spans="1:26" ht="14.1" customHeight="1" x14ac:dyDescent="0.25">
      <c r="A232" s="282"/>
      <c r="B232" s="283"/>
      <c r="C232" s="283"/>
      <c r="D232" s="283"/>
      <c r="E232" s="283"/>
      <c r="F232" s="283"/>
      <c r="G232" s="283"/>
      <c r="H232" s="283"/>
      <c r="I232" s="283"/>
      <c r="J232" s="284"/>
      <c r="K232" s="266">
        <f>SUM(K231:M231)</f>
        <v>70</v>
      </c>
      <c r="L232" s="267"/>
      <c r="M232" s="268"/>
      <c r="N232" s="266">
        <f>SUM(N231:O231)</f>
        <v>252</v>
      </c>
      <c r="O232" s="267"/>
      <c r="P232" s="268"/>
      <c r="Q232" s="231"/>
      <c r="R232" s="232"/>
      <c r="S232" s="232"/>
      <c r="T232" s="233"/>
      <c r="U232"/>
      <c r="V232"/>
      <c r="W232"/>
      <c r="X232"/>
      <c r="Y232"/>
      <c r="Z232"/>
    </row>
    <row r="233" spans="1:26" ht="14.1" customHeight="1" x14ac:dyDescent="0.25">
      <c r="A233" s="219" t="s">
        <v>65</v>
      </c>
      <c r="B233" s="226"/>
      <c r="C233" s="226"/>
      <c r="D233" s="226"/>
      <c r="E233" s="226"/>
      <c r="F233" s="226"/>
      <c r="G233" s="226"/>
      <c r="H233" s="226"/>
      <c r="I233" s="226"/>
      <c r="J233" s="220"/>
      <c r="K233" s="223">
        <f>T230/SUM(T85,T99,T111,T124)</f>
        <v>9.0909090909090912E-2</v>
      </c>
      <c r="L233" s="224"/>
      <c r="M233" s="224"/>
      <c r="N233" s="224"/>
      <c r="O233" s="224"/>
      <c r="P233" s="224"/>
      <c r="Q233" s="224"/>
      <c r="R233" s="224"/>
      <c r="S233" s="224"/>
      <c r="T233" s="225"/>
      <c r="U233"/>
      <c r="V233"/>
      <c r="W233"/>
      <c r="X233"/>
      <c r="Y233"/>
      <c r="Z233"/>
    </row>
    <row r="234" spans="1:26" ht="14.1" customHeight="1" x14ac:dyDescent="0.25">
      <c r="A234" s="227" t="s">
        <v>66</v>
      </c>
      <c r="B234" s="227"/>
      <c r="C234" s="227"/>
      <c r="D234" s="227"/>
      <c r="E234" s="227"/>
      <c r="F234" s="227"/>
      <c r="G234" s="227"/>
      <c r="H234" s="227"/>
      <c r="I234" s="227"/>
      <c r="J234" s="227"/>
      <c r="K234" s="223">
        <f>K232/(SUM(N85,N99,N111)*14+N124*12)</f>
        <v>8.6206896551724144E-2</v>
      </c>
      <c r="L234" s="224"/>
      <c r="M234" s="224"/>
      <c r="N234" s="224"/>
      <c r="O234" s="224"/>
      <c r="P234" s="224"/>
      <c r="Q234" s="224"/>
      <c r="R234" s="224"/>
      <c r="S234" s="224"/>
      <c r="T234" s="225"/>
      <c r="U234"/>
      <c r="V234"/>
      <c r="W234"/>
      <c r="X234"/>
      <c r="Y234"/>
      <c r="Z234"/>
    </row>
    <row r="235" spans="1:26" ht="12.75" customHeight="1" x14ac:dyDescent="0.25">
      <c r="U235"/>
      <c r="V235"/>
      <c r="W235"/>
      <c r="X235"/>
      <c r="Y235"/>
      <c r="Z235"/>
    </row>
    <row r="236" spans="1:26" ht="12.75" customHeight="1" x14ac:dyDescent="0.25">
      <c r="U236"/>
      <c r="V236"/>
      <c r="W236"/>
      <c r="X236"/>
      <c r="Y236"/>
      <c r="Z236"/>
    </row>
    <row r="237" spans="1:26" ht="12.75" customHeight="1" x14ac:dyDescent="0.25">
      <c r="U237"/>
      <c r="V237"/>
      <c r="W237"/>
      <c r="X237"/>
      <c r="Y237"/>
      <c r="Z237"/>
    </row>
    <row r="239" spans="1:26" ht="12.75" customHeight="1" x14ac:dyDescent="0.2">
      <c r="A239" s="265" t="s">
        <v>56</v>
      </c>
      <c r="B239" s="265"/>
      <c r="C239" s="265"/>
      <c r="D239" s="265"/>
      <c r="E239" s="265"/>
      <c r="F239" s="265"/>
      <c r="G239" s="265"/>
      <c r="H239" s="265"/>
      <c r="I239" s="265"/>
      <c r="J239" s="265"/>
      <c r="K239" s="265"/>
      <c r="L239" s="265"/>
      <c r="M239" s="265"/>
      <c r="N239" s="265"/>
      <c r="O239" s="265"/>
      <c r="P239" s="265"/>
      <c r="Q239" s="265"/>
      <c r="R239" s="265"/>
      <c r="S239" s="265"/>
      <c r="T239" s="265"/>
    </row>
    <row r="240" spans="1:26" ht="12.75" customHeight="1" x14ac:dyDescent="0.2">
      <c r="A240" s="196" t="s">
        <v>23</v>
      </c>
      <c r="B240" s="181" t="s">
        <v>48</v>
      </c>
      <c r="C240" s="182"/>
      <c r="D240" s="182"/>
      <c r="E240" s="182"/>
      <c r="F240" s="182"/>
      <c r="G240" s="183"/>
      <c r="H240" s="181" t="s">
        <v>51</v>
      </c>
      <c r="I240" s="183"/>
      <c r="J240" s="198" t="s">
        <v>52</v>
      </c>
      <c r="K240" s="199"/>
      <c r="L240" s="199"/>
      <c r="M240" s="199"/>
      <c r="N240" s="199"/>
      <c r="O240" s="200"/>
      <c r="P240" s="181" t="s">
        <v>41</v>
      </c>
      <c r="Q240" s="183"/>
      <c r="R240" s="154" t="s">
        <v>53</v>
      </c>
      <c r="S240" s="154"/>
      <c r="T240" s="154"/>
    </row>
    <row r="241" spans="1:25" x14ac:dyDescent="0.2">
      <c r="A241" s="197"/>
      <c r="B241" s="184"/>
      <c r="C241" s="185"/>
      <c r="D241" s="185"/>
      <c r="E241" s="185"/>
      <c r="F241" s="185"/>
      <c r="G241" s="186"/>
      <c r="H241" s="184"/>
      <c r="I241" s="186"/>
      <c r="J241" s="198" t="s">
        <v>30</v>
      </c>
      <c r="K241" s="200"/>
      <c r="L241" s="198" t="s">
        <v>5</v>
      </c>
      <c r="M241" s="200"/>
      <c r="N241" s="198" t="s">
        <v>27</v>
      </c>
      <c r="O241" s="200"/>
      <c r="P241" s="184"/>
      <c r="Q241" s="186"/>
      <c r="R241" s="198" t="s">
        <v>54</v>
      </c>
      <c r="S241" s="200"/>
      <c r="T241" s="15" t="s">
        <v>55</v>
      </c>
    </row>
    <row r="242" spans="1:25" ht="12.75" customHeight="1" x14ac:dyDescent="0.2">
      <c r="A242" s="15">
        <v>1</v>
      </c>
      <c r="B242" s="198" t="s">
        <v>49</v>
      </c>
      <c r="C242" s="199"/>
      <c r="D242" s="199"/>
      <c r="E242" s="199"/>
      <c r="F242" s="199"/>
      <c r="G242" s="200"/>
      <c r="H242" s="194">
        <f>J242</f>
        <v>650</v>
      </c>
      <c r="I242" s="195"/>
      <c r="J242" s="192">
        <f>(SUM(N85+N99+N111)*14+N124*12)-J243</f>
        <v>650</v>
      </c>
      <c r="K242" s="193"/>
      <c r="L242" s="192">
        <f>(SUM(O85+O99+O111)*14+O124*12)-L243</f>
        <v>1902</v>
      </c>
      <c r="M242" s="193"/>
      <c r="N242" s="192">
        <f>(SUM(P85+P99+P111)*14+P124*12)-N243</f>
        <v>2552</v>
      </c>
      <c r="O242" s="193"/>
      <c r="P242" s="190">
        <f>H242/H244</f>
        <v>0.80049261083743839</v>
      </c>
      <c r="Q242" s="191"/>
      <c r="R242" s="192">
        <f>J85+J99-R243</f>
        <v>60</v>
      </c>
      <c r="S242" s="193"/>
      <c r="T242" s="7">
        <f>J111+J124-T243</f>
        <v>60</v>
      </c>
    </row>
    <row r="243" spans="1:25" ht="12.75" customHeight="1" x14ac:dyDescent="0.2">
      <c r="A243" s="15">
        <v>2</v>
      </c>
      <c r="B243" s="198" t="s">
        <v>50</v>
      </c>
      <c r="C243" s="199"/>
      <c r="D243" s="199"/>
      <c r="E243" s="199"/>
      <c r="F243" s="199"/>
      <c r="G243" s="200"/>
      <c r="H243" s="194">
        <f>J243</f>
        <v>162</v>
      </c>
      <c r="I243" s="195"/>
      <c r="J243" s="277">
        <f>N145</f>
        <v>162</v>
      </c>
      <c r="K243" s="278"/>
      <c r="L243" s="277">
        <f>O145</f>
        <v>336</v>
      </c>
      <c r="M243" s="278"/>
      <c r="N243" s="275">
        <f>SUM(J243:M243)</f>
        <v>498</v>
      </c>
      <c r="O243" s="276"/>
      <c r="P243" s="190">
        <f>H243/H244</f>
        <v>0.19950738916256158</v>
      </c>
      <c r="Q243" s="191"/>
      <c r="R243" s="285">
        <v>0</v>
      </c>
      <c r="S243" s="286"/>
      <c r="T243" s="6">
        <v>0</v>
      </c>
      <c r="U243" s="272" t="str">
        <f>IF(N243=P145,"Corect","Nu corespunde cu tabelul de opționale")</f>
        <v>Corect</v>
      </c>
      <c r="V243" s="272"/>
      <c r="W243" s="272"/>
      <c r="X243" s="272"/>
    </row>
    <row r="244" spans="1:25" x14ac:dyDescent="0.2">
      <c r="A244" s="198" t="s">
        <v>21</v>
      </c>
      <c r="B244" s="199"/>
      <c r="C244" s="199"/>
      <c r="D244" s="199"/>
      <c r="E244" s="199"/>
      <c r="F244" s="199"/>
      <c r="G244" s="200"/>
      <c r="H244" s="198">
        <f>SUM(H242:I243)</f>
        <v>812</v>
      </c>
      <c r="I244" s="200"/>
      <c r="J244" s="198">
        <f>SUM(J242:K243)</f>
        <v>812</v>
      </c>
      <c r="K244" s="200"/>
      <c r="L244" s="127">
        <f>SUM(L242:M243)</f>
        <v>2238</v>
      </c>
      <c r="M244" s="129"/>
      <c r="N244" s="127">
        <f>SUM(N242:O243)</f>
        <v>3050</v>
      </c>
      <c r="O244" s="129"/>
      <c r="P244" s="261">
        <f>SUM(P242:Q243)</f>
        <v>1</v>
      </c>
      <c r="Q244" s="262"/>
      <c r="R244" s="127">
        <f>SUM(R242:S243)</f>
        <v>60</v>
      </c>
      <c r="S244" s="129"/>
      <c r="T244" s="9">
        <f>SUM(T242:T243)</f>
        <v>60</v>
      </c>
    </row>
    <row r="245" spans="1:25" x14ac:dyDescent="0.2">
      <c r="A245" s="28"/>
      <c r="B245" s="28"/>
      <c r="C245" s="28"/>
      <c r="D245" s="28"/>
      <c r="E245" s="28"/>
      <c r="F245" s="28"/>
      <c r="G245" s="28"/>
      <c r="H245" s="28"/>
      <c r="I245" s="28"/>
      <c r="J245" s="28"/>
      <c r="K245" s="28"/>
      <c r="L245" s="19"/>
      <c r="M245" s="19"/>
      <c r="N245" s="19"/>
      <c r="O245" s="19"/>
      <c r="P245" s="29"/>
      <c r="Q245" s="29"/>
      <c r="R245" s="19"/>
      <c r="S245" s="19"/>
      <c r="T245" s="19"/>
    </row>
    <row r="246" spans="1:25" x14ac:dyDescent="0.2">
      <c r="A246" s="28"/>
      <c r="B246" s="28"/>
      <c r="C246" s="28"/>
      <c r="D246" s="28"/>
      <c r="E246" s="28"/>
      <c r="F246" s="28"/>
      <c r="G246" s="28"/>
      <c r="H246" s="28"/>
      <c r="I246" s="28"/>
      <c r="J246" s="28"/>
      <c r="K246" s="28"/>
      <c r="L246" s="19"/>
      <c r="M246" s="19"/>
      <c r="N246" s="19"/>
      <c r="O246" s="19"/>
      <c r="P246" s="29"/>
      <c r="Q246" s="29"/>
      <c r="R246" s="19"/>
      <c r="S246" s="19"/>
      <c r="T246" s="19"/>
    </row>
    <row r="247" spans="1:25" x14ac:dyDescent="0.2">
      <c r="A247" s="28"/>
      <c r="B247" s="28"/>
      <c r="C247" s="28"/>
      <c r="D247" s="28"/>
      <c r="E247" s="28"/>
      <c r="F247" s="28"/>
      <c r="G247" s="28"/>
      <c r="H247" s="28"/>
      <c r="I247" s="28"/>
      <c r="J247" s="28"/>
      <c r="K247" s="28"/>
      <c r="L247" s="19"/>
      <c r="M247" s="19"/>
      <c r="N247" s="19"/>
      <c r="O247" s="19"/>
      <c r="P247" s="29"/>
      <c r="Q247" s="29"/>
      <c r="R247" s="19"/>
      <c r="S247" s="19"/>
      <c r="T247" s="19"/>
    </row>
    <row r="248" spans="1:25" ht="12.75" customHeight="1" x14ac:dyDescent="0.2">
      <c r="A248" s="163" t="s">
        <v>89</v>
      </c>
      <c r="B248" s="163"/>
      <c r="C248" s="163"/>
      <c r="D248" s="163"/>
      <c r="E248" s="163"/>
      <c r="F248" s="163"/>
      <c r="G248" s="163"/>
      <c r="H248" s="163"/>
      <c r="I248" s="163"/>
      <c r="J248" s="163"/>
      <c r="K248" s="163"/>
      <c r="L248" s="163"/>
      <c r="M248" s="163"/>
      <c r="N248" s="163"/>
      <c r="O248" s="163"/>
      <c r="P248" s="163"/>
      <c r="Q248" s="163"/>
      <c r="R248" s="163"/>
      <c r="S248" s="163"/>
      <c r="T248" s="163"/>
    </row>
    <row r="249" spans="1:25" ht="12.75" customHeight="1" x14ac:dyDescent="0.2">
      <c r="A249" s="181" t="s">
        <v>94</v>
      </c>
      <c r="B249" s="182"/>
      <c r="C249" s="182"/>
      <c r="D249" s="182"/>
      <c r="E249" s="182"/>
      <c r="F249" s="182"/>
      <c r="G249" s="182"/>
      <c r="H249" s="183"/>
      <c r="I249" s="181" t="s">
        <v>129</v>
      </c>
      <c r="J249" s="183"/>
      <c r="K249" s="181" t="s">
        <v>130</v>
      </c>
      <c r="L249" s="182"/>
      <c r="M249" s="182"/>
      <c r="N249" s="183"/>
      <c r="O249" s="181" t="s">
        <v>128</v>
      </c>
      <c r="P249" s="182"/>
      <c r="Q249" s="183"/>
      <c r="R249" s="181" t="s">
        <v>131</v>
      </c>
      <c r="S249" s="182"/>
      <c r="T249" s="183"/>
    </row>
    <row r="250" spans="1:25" ht="12.75" customHeight="1" x14ac:dyDescent="0.2">
      <c r="A250" s="184"/>
      <c r="B250" s="185"/>
      <c r="C250" s="185"/>
      <c r="D250" s="185"/>
      <c r="E250" s="185"/>
      <c r="F250" s="185"/>
      <c r="G250" s="185"/>
      <c r="H250" s="186"/>
      <c r="I250" s="184"/>
      <c r="J250" s="186"/>
      <c r="K250" s="184"/>
      <c r="L250" s="185"/>
      <c r="M250" s="185"/>
      <c r="N250" s="186"/>
      <c r="O250" s="184"/>
      <c r="P250" s="185"/>
      <c r="Q250" s="186"/>
      <c r="R250" s="184"/>
      <c r="S250" s="185"/>
      <c r="T250" s="186"/>
    </row>
    <row r="251" spans="1:25" ht="12.75" customHeight="1" x14ac:dyDescent="0.2">
      <c r="A251" s="157" t="s">
        <v>92</v>
      </c>
      <c r="B251" s="158"/>
      <c r="C251" s="158"/>
      <c r="D251" s="158"/>
      <c r="E251" s="158"/>
      <c r="F251" s="158"/>
      <c r="G251" s="159"/>
      <c r="H251" s="15" t="s">
        <v>90</v>
      </c>
      <c r="I251" s="168">
        <f>K189</f>
        <v>198</v>
      </c>
      <c r="J251" s="169"/>
      <c r="K251" s="179">
        <f>K191</f>
        <v>0.24384236453201971</v>
      </c>
      <c r="L251" s="179"/>
      <c r="M251" s="179"/>
      <c r="N251" s="179"/>
      <c r="O251" s="164">
        <f>N189</f>
        <v>826</v>
      </c>
      <c r="P251" s="165"/>
      <c r="Q251" s="165"/>
      <c r="R251" s="160">
        <f>O251/O254</f>
        <v>0.27081967213114755</v>
      </c>
      <c r="S251" s="161"/>
      <c r="T251" s="162"/>
      <c r="U251" s="273" t="str">
        <f>IF(J244=I254,"Corect","Bilanțul general nu corespunde cu Bilanțul pe tipuri de discipline")</f>
        <v>Corect</v>
      </c>
      <c r="V251" s="274"/>
      <c r="W251" s="274"/>
      <c r="X251" s="274"/>
      <c r="Y251" s="274"/>
    </row>
    <row r="252" spans="1:25" ht="12.75" customHeight="1" x14ac:dyDescent="0.2">
      <c r="A252" s="157" t="s">
        <v>93</v>
      </c>
      <c r="B252" s="158"/>
      <c r="C252" s="158"/>
      <c r="D252" s="158"/>
      <c r="E252" s="158"/>
      <c r="F252" s="158"/>
      <c r="G252" s="159"/>
      <c r="H252" s="15" t="s">
        <v>91</v>
      </c>
      <c r="I252" s="168">
        <f>K219</f>
        <v>544</v>
      </c>
      <c r="J252" s="169"/>
      <c r="K252" s="179">
        <f>K221</f>
        <v>0.66995073891625612</v>
      </c>
      <c r="L252" s="179"/>
      <c r="M252" s="179"/>
      <c r="N252" s="179"/>
      <c r="O252" s="164">
        <f>N219</f>
        <v>1972</v>
      </c>
      <c r="P252" s="165"/>
      <c r="Q252" s="165"/>
      <c r="R252" s="160">
        <f>O252/O254</f>
        <v>0.64655737704918037</v>
      </c>
      <c r="S252" s="161"/>
      <c r="T252" s="162"/>
    </row>
    <row r="253" spans="1:25" ht="12.75" customHeight="1" x14ac:dyDescent="0.2">
      <c r="A253" s="157" t="s">
        <v>137</v>
      </c>
      <c r="B253" s="158"/>
      <c r="C253" s="158"/>
      <c r="D253" s="158"/>
      <c r="E253" s="158"/>
      <c r="F253" s="158"/>
      <c r="G253" s="159"/>
      <c r="H253" s="15" t="s">
        <v>33</v>
      </c>
      <c r="I253" s="168">
        <f>K232</f>
        <v>70</v>
      </c>
      <c r="J253" s="169"/>
      <c r="K253" s="179">
        <f>K234</f>
        <v>8.6206896551724144E-2</v>
      </c>
      <c r="L253" s="179"/>
      <c r="M253" s="179"/>
      <c r="N253" s="179"/>
      <c r="O253" s="164">
        <f>N232</f>
        <v>252</v>
      </c>
      <c r="P253" s="165"/>
      <c r="Q253" s="165"/>
      <c r="R253" s="160">
        <f>O253/O254</f>
        <v>8.2622950819672136E-2</v>
      </c>
      <c r="S253" s="161"/>
      <c r="T253" s="162"/>
      <c r="U253" s="273" t="str">
        <f>IF(N244=O254,"Corect","Bilanțul general nu corespunde cu Bilanțul pe tipuri de discipline")</f>
        <v>Corect</v>
      </c>
      <c r="V253" s="274"/>
      <c r="W253" s="274"/>
      <c r="X253" s="274"/>
      <c r="Y253" s="274"/>
    </row>
    <row r="254" spans="1:25" x14ac:dyDescent="0.2">
      <c r="A254" s="154" t="s">
        <v>21</v>
      </c>
      <c r="B254" s="154"/>
      <c r="C254" s="154"/>
      <c r="D254" s="154"/>
      <c r="E254" s="154"/>
      <c r="F254" s="154"/>
      <c r="G254" s="154"/>
      <c r="H254" s="154"/>
      <c r="I254" s="177">
        <f>SUM(I251:J253)</f>
        <v>812</v>
      </c>
      <c r="J254" s="178"/>
      <c r="K254" s="166">
        <f>SUM(K251:N253)</f>
        <v>1</v>
      </c>
      <c r="L254" s="166"/>
      <c r="M254" s="166"/>
      <c r="N254" s="166"/>
      <c r="O254" s="189">
        <f>SUM(O251:Q253)</f>
        <v>3050</v>
      </c>
      <c r="P254" s="287"/>
      <c r="Q254" s="287"/>
      <c r="R254" s="166">
        <f>SUM(R251:T253)</f>
        <v>1</v>
      </c>
      <c r="S254" s="166"/>
      <c r="T254" s="166"/>
    </row>
    <row r="255" spans="1:25" x14ac:dyDescent="0.2">
      <c r="A255" s="28"/>
      <c r="B255" s="28"/>
      <c r="C255" s="28"/>
      <c r="D255" s="28"/>
      <c r="E255" s="28"/>
      <c r="F255" s="28"/>
      <c r="G255" s="28"/>
      <c r="H255" s="28"/>
      <c r="I255" s="28"/>
      <c r="J255" s="28"/>
      <c r="K255" s="28"/>
      <c r="L255" s="19"/>
      <c r="M255" s="19"/>
      <c r="N255" s="19"/>
      <c r="O255" s="19"/>
      <c r="P255" s="29"/>
      <c r="Q255" s="29"/>
      <c r="R255" s="19"/>
      <c r="S255" s="19"/>
      <c r="T255" s="19"/>
    </row>
    <row r="256" spans="1:25" x14ac:dyDescent="0.2">
      <c r="A256" s="28"/>
      <c r="B256" s="28"/>
      <c r="C256" s="28"/>
      <c r="D256" s="28"/>
      <c r="E256" s="28"/>
      <c r="F256" s="28"/>
      <c r="G256" s="28"/>
      <c r="H256" s="28"/>
      <c r="I256" s="28"/>
      <c r="J256" s="28"/>
      <c r="K256" s="28"/>
      <c r="L256" s="19"/>
      <c r="M256" s="19"/>
      <c r="N256" s="19"/>
      <c r="O256" s="19"/>
      <c r="P256" s="29"/>
      <c r="Q256" s="29"/>
      <c r="R256" s="19"/>
      <c r="S256" s="19"/>
      <c r="T256" s="19"/>
    </row>
    <row r="257" spans="1:30" x14ac:dyDescent="0.2">
      <c r="A257" s="28"/>
      <c r="B257" s="28"/>
      <c r="C257" s="28"/>
      <c r="D257" s="28"/>
      <c r="E257" s="28"/>
      <c r="F257" s="28"/>
      <c r="G257" s="28"/>
      <c r="H257" s="28"/>
      <c r="I257" s="28"/>
      <c r="J257" s="28"/>
      <c r="K257" s="28"/>
      <c r="L257" s="19"/>
      <c r="M257" s="19"/>
      <c r="N257" s="19"/>
      <c r="O257" s="19"/>
      <c r="P257" s="29"/>
      <c r="Q257" s="29"/>
      <c r="R257" s="19"/>
      <c r="S257" s="19"/>
      <c r="T257" s="19"/>
      <c r="U257" s="65" t="s">
        <v>242</v>
      </c>
      <c r="V257" s="65"/>
    </row>
    <row r="258" spans="1:30" ht="12.75" customHeight="1" x14ac:dyDescent="0.2">
      <c r="A258" s="283" t="s">
        <v>140</v>
      </c>
      <c r="B258" s="283"/>
      <c r="C258" s="283"/>
      <c r="D258" s="283"/>
      <c r="E258" s="283"/>
      <c r="F258" s="283"/>
      <c r="G258" s="283"/>
      <c r="H258" s="283"/>
      <c r="I258" s="283"/>
      <c r="J258" s="283"/>
      <c r="K258" s="283"/>
      <c r="L258" s="283"/>
      <c r="M258" s="283"/>
      <c r="N258" s="283"/>
      <c r="O258" s="29"/>
      <c r="P258" s="29"/>
      <c r="Q258" s="29"/>
      <c r="R258" s="19"/>
      <c r="S258" s="19"/>
      <c r="T258" s="19"/>
    </row>
    <row r="259" spans="1:30" ht="12.75" customHeight="1" x14ac:dyDescent="0.2">
      <c r="A259" s="304" t="s">
        <v>132</v>
      </c>
      <c r="B259" s="304"/>
      <c r="C259" s="304"/>
      <c r="D259" s="304"/>
      <c r="E259" s="304"/>
      <c r="F259" s="304"/>
      <c r="G259" s="304"/>
      <c r="H259" s="304"/>
      <c r="I259" s="304"/>
      <c r="J259" s="304"/>
      <c r="K259" s="304"/>
      <c r="L259" s="304"/>
      <c r="M259" s="167">
        <f>SUM(L205,L209)*14</f>
        <v>56</v>
      </c>
      <c r="N259" s="167"/>
      <c r="O259" s="29"/>
      <c r="P259" s="29"/>
      <c r="Q259" s="29"/>
      <c r="R259" s="19"/>
      <c r="S259" s="19"/>
      <c r="T259" s="19"/>
      <c r="U259" s="290" t="s">
        <v>106</v>
      </c>
      <c r="V259" s="291"/>
      <c r="W259" s="291"/>
      <c r="X259" s="291"/>
      <c r="Y259" s="291"/>
      <c r="Z259" s="291"/>
      <c r="AA259" s="292"/>
    </row>
    <row r="260" spans="1:30" ht="12.75" customHeight="1" x14ac:dyDescent="0.2">
      <c r="A260" s="301" t="s">
        <v>127</v>
      </c>
      <c r="B260" s="302"/>
      <c r="C260" s="302"/>
      <c r="D260" s="302"/>
      <c r="E260" s="302"/>
      <c r="F260" s="302"/>
      <c r="G260" s="302"/>
      <c r="H260" s="302"/>
      <c r="I260" s="302"/>
      <c r="J260" s="302"/>
      <c r="K260" s="302"/>
      <c r="L260" s="303"/>
      <c r="M260" s="167">
        <f>M185*12</f>
        <v>36</v>
      </c>
      <c r="N260" s="167"/>
      <c r="O260" s="19"/>
      <c r="P260" s="19"/>
      <c r="Q260" s="29"/>
      <c r="R260" s="19"/>
      <c r="S260" s="19"/>
      <c r="T260" s="19"/>
      <c r="U260" s="293"/>
      <c r="V260" s="294"/>
      <c r="W260" s="294"/>
      <c r="X260" s="294"/>
      <c r="Y260" s="294"/>
      <c r="Z260" s="294"/>
      <c r="AA260" s="295"/>
    </row>
    <row r="261" spans="1:30" ht="12.75" customHeight="1" x14ac:dyDescent="0.2">
      <c r="A261" s="305" t="s">
        <v>95</v>
      </c>
      <c r="B261" s="305"/>
      <c r="C261" s="305"/>
      <c r="D261" s="305"/>
      <c r="E261" s="305"/>
      <c r="F261" s="305"/>
      <c r="G261" s="305"/>
      <c r="H261" s="305"/>
      <c r="I261" s="305"/>
      <c r="J261" s="305"/>
      <c r="K261" s="305"/>
      <c r="L261" s="305"/>
      <c r="M261" s="153">
        <f>M259+M260</f>
        <v>92</v>
      </c>
      <c r="N261" s="153"/>
      <c r="O261" s="19"/>
      <c r="P261" s="19"/>
      <c r="Q261" s="29"/>
      <c r="R261" s="19"/>
      <c r="S261" s="19"/>
      <c r="T261" s="19"/>
      <c r="U261" s="296" t="s">
        <v>102</v>
      </c>
      <c r="V261" s="297"/>
      <c r="W261" s="296" t="s">
        <v>103</v>
      </c>
      <c r="X261" s="297"/>
      <c r="Y261" s="300" t="s">
        <v>104</v>
      </c>
      <c r="Z261" s="300"/>
      <c r="AA261" s="300"/>
    </row>
    <row r="262" spans="1:30" ht="12.75" customHeight="1" x14ac:dyDescent="0.2">
      <c r="A262" s="28"/>
      <c r="B262" s="28"/>
      <c r="C262" s="28"/>
      <c r="D262" s="28"/>
      <c r="E262" s="28"/>
      <c r="F262" s="28"/>
      <c r="G262" s="28"/>
      <c r="H262" s="28"/>
      <c r="I262" s="28"/>
      <c r="J262" s="28"/>
      <c r="K262" s="28"/>
      <c r="L262" s="19"/>
      <c r="M262" s="19"/>
      <c r="N262" s="19"/>
      <c r="O262" s="19"/>
      <c r="P262" s="19"/>
      <c r="Q262" s="29"/>
      <c r="R262" s="19"/>
      <c r="S262" s="19"/>
      <c r="T262" s="19"/>
      <c r="U262" s="298"/>
      <c r="V262" s="299"/>
      <c r="W262" s="298"/>
      <c r="X262" s="299"/>
      <c r="Y262" s="300"/>
      <c r="Z262" s="300"/>
      <c r="AA262" s="300"/>
    </row>
    <row r="263" spans="1:30" ht="12.75" customHeight="1" x14ac:dyDescent="0.2">
      <c r="A263" s="28"/>
      <c r="B263" s="28"/>
      <c r="C263" s="28"/>
      <c r="D263" s="28"/>
      <c r="E263" s="28"/>
      <c r="F263" s="28"/>
      <c r="G263" s="28"/>
      <c r="H263" s="28"/>
      <c r="I263" s="28"/>
      <c r="J263" s="28"/>
      <c r="K263" s="28"/>
      <c r="L263" s="19"/>
      <c r="M263" s="19"/>
      <c r="N263" s="19"/>
      <c r="O263" s="19"/>
      <c r="P263" s="29"/>
      <c r="Q263" s="29"/>
      <c r="R263" s="19"/>
      <c r="S263" s="19"/>
      <c r="T263" s="19"/>
      <c r="U263" s="309">
        <f>K190+K220+K233</f>
        <v>1</v>
      </c>
      <c r="V263" s="310"/>
      <c r="W263" s="309" t="e">
        <f>#REF!+#REF!+K233</f>
        <v>#REF!</v>
      </c>
      <c r="X263" s="310"/>
      <c r="Y263" s="311"/>
      <c r="Z263" s="311"/>
      <c r="AA263" s="311"/>
      <c r="AB263" s="288" t="s">
        <v>67</v>
      </c>
      <c r="AC263" s="288"/>
      <c r="AD263" s="288"/>
    </row>
    <row r="264" spans="1:30" ht="12.75" customHeight="1" x14ac:dyDescent="0.2">
      <c r="A264" s="28"/>
      <c r="B264" s="28"/>
      <c r="C264" s="28"/>
      <c r="D264" s="28"/>
      <c r="E264" s="28"/>
      <c r="F264" s="28"/>
      <c r="G264" s="28"/>
      <c r="H264" s="28"/>
      <c r="I264" s="28"/>
      <c r="J264" s="28"/>
      <c r="K264" s="28"/>
      <c r="L264" s="19"/>
      <c r="M264" s="19"/>
      <c r="N264" s="19"/>
      <c r="O264" s="19"/>
      <c r="P264" s="29"/>
      <c r="Q264" s="29"/>
      <c r="R264" s="19"/>
      <c r="S264" s="19"/>
      <c r="T264" s="19"/>
      <c r="U264" s="309">
        <f>K191+K221+K234</f>
        <v>1</v>
      </c>
      <c r="V264" s="310"/>
      <c r="W264" s="309" t="e">
        <f>#REF!+#REF!+K234</f>
        <v>#REF!</v>
      </c>
      <c r="X264" s="310"/>
      <c r="Y264" s="309"/>
      <c r="Z264" s="312"/>
      <c r="AA264" s="310"/>
      <c r="AB264" s="288" t="s">
        <v>68</v>
      </c>
      <c r="AC264" s="288"/>
      <c r="AD264" s="288"/>
    </row>
    <row r="265" spans="1:30" ht="12.75" customHeight="1" x14ac:dyDescent="0.2">
      <c r="A265" s="28"/>
      <c r="B265" s="28"/>
      <c r="C265" s="28"/>
      <c r="D265" s="28"/>
      <c r="E265" s="28"/>
      <c r="F265" s="28"/>
      <c r="G265" s="28"/>
      <c r="H265" s="28"/>
      <c r="I265" s="28"/>
      <c r="J265" s="28"/>
      <c r="K265" s="28"/>
      <c r="L265" s="19"/>
      <c r="M265" s="19"/>
      <c r="N265" s="19"/>
      <c r="O265" s="19"/>
      <c r="P265" s="29"/>
      <c r="Q265" s="29"/>
      <c r="R265" s="19"/>
      <c r="S265" s="19"/>
      <c r="T265" s="19"/>
      <c r="U265" s="217" t="str">
        <f>IF(U263=100%,"Corect",IF(U263&gt;100%,"Ați dublat unele discipline","Ați pierdut unele discipline"))</f>
        <v>Corect</v>
      </c>
      <c r="V265" s="218"/>
      <c r="W265" s="217" t="e">
        <f>IF(W263=100%,"Corect",IF(W263&gt;100%,"Ați dublat unele discipline","Ați pierdut unele discipline"))</f>
        <v>#REF!</v>
      </c>
      <c r="X265" s="218"/>
      <c r="Y265" s="289" t="str">
        <f>IF(Y263=100%,"Corect",IF(Y263&gt;100%,"Ați dublat unele discipline","Ați pierdut unele discipline"))</f>
        <v>Ați pierdut unele discipline</v>
      </c>
      <c r="Z265" s="289"/>
      <c r="AA265" s="289"/>
    </row>
    <row r="266" spans="1:30" x14ac:dyDescent="0.2">
      <c r="A266" s="28"/>
      <c r="B266" s="28"/>
      <c r="C266" s="28"/>
      <c r="D266" s="28"/>
      <c r="E266" s="28"/>
      <c r="F266" s="28"/>
      <c r="G266" s="28"/>
      <c r="H266" s="28"/>
      <c r="I266" s="28"/>
      <c r="J266" s="28"/>
      <c r="K266" s="28"/>
      <c r="L266" s="19"/>
      <c r="M266" s="19"/>
      <c r="N266" s="19"/>
      <c r="O266" s="19"/>
      <c r="P266" s="29"/>
      <c r="Q266" s="29"/>
      <c r="R266" s="19"/>
      <c r="S266" s="19"/>
      <c r="T266" s="19"/>
      <c r="U266" s="306" t="str">
        <f>IF(U264=100%,"Corect",IF(U264&gt;100%,"Ați dublat unele discipline","Ați pierdut unele discipline"))</f>
        <v>Corect</v>
      </c>
      <c r="V266" s="307"/>
      <c r="W266" s="306" t="e">
        <f>IF(W264=100%,"Corect",IF(W264&gt;100%,"Ați dublat unele discipline","Ați pierdut unele discipline"))</f>
        <v>#REF!</v>
      </c>
      <c r="X266" s="307"/>
      <c r="Y266" s="289" t="str">
        <f>IF(Y264=100%,"Corect",IF(Y264&gt;100%,"Ați dublat unele discipline","Ați pierdut unele discipline"))</f>
        <v>Ați pierdut unele discipline</v>
      </c>
      <c r="Z266" s="289"/>
      <c r="AA266" s="289"/>
    </row>
    <row r="267" spans="1:30" x14ac:dyDescent="0.2">
      <c r="A267" s="28"/>
      <c r="B267" s="28"/>
      <c r="C267" s="28"/>
      <c r="D267" s="28"/>
      <c r="E267" s="28"/>
      <c r="F267" s="28"/>
      <c r="G267" s="28"/>
      <c r="H267" s="28"/>
      <c r="I267" s="28"/>
      <c r="J267" s="28"/>
      <c r="K267" s="28"/>
      <c r="L267" s="19"/>
      <c r="M267" s="19"/>
      <c r="N267" s="19"/>
      <c r="O267" s="19"/>
      <c r="P267" s="29"/>
      <c r="Q267" s="29"/>
      <c r="R267" s="19"/>
      <c r="S267" s="19"/>
      <c r="T267" s="19"/>
      <c r="U267" s="308" t="s">
        <v>105</v>
      </c>
      <c r="V267" s="308"/>
      <c r="W267" s="308"/>
      <c r="X267" s="308"/>
      <c r="Y267" s="308"/>
      <c r="Z267" s="308"/>
      <c r="AA267" s="308"/>
    </row>
    <row r="268" spans="1:30" x14ac:dyDescent="0.2">
      <c r="A268" s="28"/>
      <c r="B268" s="28"/>
      <c r="C268" s="28"/>
      <c r="D268" s="28"/>
      <c r="E268" s="28"/>
      <c r="F268" s="28"/>
      <c r="G268" s="28"/>
      <c r="H268" s="28"/>
      <c r="I268" s="28"/>
      <c r="J268" s="28"/>
      <c r="K268" s="28"/>
      <c r="L268" s="19"/>
      <c r="M268" s="19"/>
      <c r="N268" s="19"/>
      <c r="O268" s="19"/>
      <c r="P268" s="29"/>
      <c r="Q268" s="29"/>
      <c r="R268" s="19"/>
      <c r="S268" s="19"/>
      <c r="T268" s="19"/>
      <c r="U268" s="308"/>
      <c r="V268" s="308"/>
      <c r="W268" s="308"/>
      <c r="X268" s="308"/>
      <c r="Y268" s="308"/>
      <c r="Z268" s="308"/>
      <c r="AA268" s="308"/>
    </row>
    <row r="269" spans="1:30" ht="12.75" customHeight="1" x14ac:dyDescent="0.2">
      <c r="A269" s="28"/>
      <c r="B269" s="28"/>
      <c r="C269" s="28"/>
      <c r="D269" s="28"/>
      <c r="E269" s="28"/>
      <c r="F269" s="28"/>
      <c r="G269" s="28"/>
      <c r="H269" s="28"/>
      <c r="I269" s="28"/>
      <c r="J269" s="28"/>
      <c r="K269" s="28"/>
      <c r="L269" s="19"/>
      <c r="M269" s="19"/>
      <c r="N269" s="19"/>
      <c r="O269" s="19"/>
      <c r="P269" s="29"/>
      <c r="Q269" s="29"/>
      <c r="R269" s="19"/>
      <c r="S269" s="19"/>
      <c r="T269" s="19"/>
      <c r="U269" s="308"/>
      <c r="V269" s="308"/>
      <c r="W269" s="308"/>
      <c r="X269" s="308"/>
      <c r="Y269" s="308"/>
      <c r="Z269" s="308"/>
      <c r="AA269" s="308"/>
    </row>
    <row r="270" spans="1:30" ht="12.75" customHeight="1" x14ac:dyDescent="0.2">
      <c r="A270" s="28"/>
      <c r="B270" s="28"/>
      <c r="C270" s="28"/>
      <c r="D270" s="28"/>
      <c r="E270" s="28"/>
      <c r="F270" s="28"/>
      <c r="G270" s="28"/>
      <c r="H270" s="28"/>
      <c r="I270" s="28"/>
      <c r="J270" s="28"/>
      <c r="K270" s="28"/>
      <c r="L270" s="19"/>
      <c r="M270" s="19"/>
      <c r="N270" s="19"/>
      <c r="O270" s="19"/>
      <c r="P270" s="29"/>
      <c r="Q270" s="29"/>
      <c r="R270" s="19"/>
      <c r="S270" s="19"/>
      <c r="T270" s="19"/>
      <c r="U270" s="308"/>
      <c r="V270" s="308"/>
      <c r="W270" s="308"/>
      <c r="X270" s="308"/>
      <c r="Y270" s="308"/>
      <c r="Z270" s="308"/>
      <c r="AA270" s="308"/>
    </row>
    <row r="271" spans="1:30" ht="12.75" customHeight="1" x14ac:dyDescent="0.2">
      <c r="A271" s="28"/>
      <c r="B271" s="28"/>
      <c r="C271" s="28"/>
      <c r="D271" s="28"/>
      <c r="E271" s="28"/>
      <c r="F271" s="28"/>
      <c r="G271" s="28"/>
      <c r="H271" s="28"/>
      <c r="I271" s="28"/>
      <c r="J271" s="28"/>
      <c r="K271" s="28"/>
      <c r="L271" s="19"/>
      <c r="M271" s="19"/>
      <c r="N271" s="19"/>
      <c r="O271" s="19"/>
      <c r="P271" s="29"/>
      <c r="Q271" s="29"/>
      <c r="R271" s="19"/>
      <c r="S271" s="19"/>
      <c r="T271" s="19"/>
    </row>
    <row r="276" spans="1:25" x14ac:dyDescent="0.2">
      <c r="A276" s="214" t="s">
        <v>107</v>
      </c>
      <c r="B276" s="214"/>
      <c r="C276" s="214"/>
      <c r="D276" s="214"/>
      <c r="E276" s="214"/>
      <c r="F276" s="214"/>
      <c r="G276" s="214"/>
      <c r="H276" s="214"/>
      <c r="I276" s="214"/>
      <c r="J276" s="214"/>
      <c r="K276" s="214"/>
      <c r="L276" s="214"/>
      <c r="M276" s="214"/>
      <c r="N276" s="214"/>
      <c r="O276" s="214"/>
      <c r="P276" s="214"/>
      <c r="Q276" s="214"/>
      <c r="R276" s="214"/>
      <c r="S276" s="214"/>
      <c r="T276" s="214"/>
    </row>
    <row r="277" spans="1:25" x14ac:dyDescent="0.2">
      <c r="A277" s="23"/>
      <c r="B277" s="23"/>
      <c r="C277" s="23"/>
      <c r="D277" s="23"/>
      <c r="E277" s="23"/>
      <c r="F277" s="23"/>
      <c r="G277" s="23"/>
      <c r="H277" s="23"/>
      <c r="I277" s="23"/>
      <c r="J277" s="23"/>
      <c r="K277" s="23"/>
      <c r="L277" s="23"/>
      <c r="M277" s="23"/>
      <c r="N277" s="23"/>
      <c r="O277" s="23"/>
      <c r="P277" s="23"/>
      <c r="Q277" s="23"/>
      <c r="R277" s="23"/>
      <c r="S277" s="23"/>
      <c r="T277" s="23"/>
    </row>
    <row r="278" spans="1:25" x14ac:dyDescent="0.2">
      <c r="A278" s="105" t="s">
        <v>59</v>
      </c>
      <c r="B278" s="106"/>
      <c r="C278" s="106"/>
      <c r="D278" s="106"/>
      <c r="E278" s="106"/>
      <c r="F278" s="106"/>
      <c r="G278" s="106"/>
      <c r="H278" s="106"/>
      <c r="I278" s="106"/>
      <c r="J278" s="106"/>
      <c r="K278" s="106"/>
      <c r="L278" s="106"/>
      <c r="M278" s="106"/>
      <c r="N278" s="106"/>
      <c r="O278" s="106"/>
      <c r="P278" s="106"/>
      <c r="Q278" s="106"/>
      <c r="R278" s="106"/>
      <c r="S278" s="106"/>
      <c r="T278" s="107"/>
      <c r="U278" s="313" t="s">
        <v>126</v>
      </c>
      <c r="V278" s="313"/>
      <c r="W278" s="313"/>
      <c r="X278" s="313"/>
      <c r="Y278" s="313"/>
    </row>
    <row r="279" spans="1:25" x14ac:dyDescent="0.2">
      <c r="A279" s="108"/>
      <c r="B279" s="109"/>
      <c r="C279" s="109"/>
      <c r="D279" s="109"/>
      <c r="E279" s="109"/>
      <c r="F279" s="109"/>
      <c r="G279" s="109"/>
      <c r="H279" s="109"/>
      <c r="I279" s="109"/>
      <c r="J279" s="109"/>
      <c r="K279" s="109"/>
      <c r="L279" s="109"/>
      <c r="M279" s="109"/>
      <c r="N279" s="109"/>
      <c r="O279" s="109"/>
      <c r="P279" s="109"/>
      <c r="Q279" s="109"/>
      <c r="R279" s="109"/>
      <c r="S279" s="109"/>
      <c r="T279" s="110"/>
      <c r="U279" s="313"/>
      <c r="V279" s="313"/>
      <c r="W279" s="313"/>
      <c r="X279" s="313"/>
      <c r="Y279" s="313"/>
    </row>
    <row r="280" spans="1:25" x14ac:dyDescent="0.2">
      <c r="A280" s="111" t="s">
        <v>23</v>
      </c>
      <c r="B280" s="111" t="s">
        <v>22</v>
      </c>
      <c r="C280" s="111"/>
      <c r="D280" s="111"/>
      <c r="E280" s="111"/>
      <c r="F280" s="111"/>
      <c r="G280" s="111"/>
      <c r="H280" s="111"/>
      <c r="I280" s="111"/>
      <c r="J280" s="111" t="s">
        <v>34</v>
      </c>
      <c r="K280" s="105" t="s">
        <v>20</v>
      </c>
      <c r="L280" s="106"/>
      <c r="M280" s="107"/>
      <c r="N280" s="105" t="s">
        <v>35</v>
      </c>
      <c r="O280" s="106"/>
      <c r="P280" s="107"/>
      <c r="Q280" s="105" t="s">
        <v>19</v>
      </c>
      <c r="R280" s="106"/>
      <c r="S280" s="107"/>
      <c r="T280" s="102" t="s">
        <v>18</v>
      </c>
      <c r="U280" s="313"/>
      <c r="V280" s="313"/>
      <c r="W280" s="313"/>
      <c r="X280" s="313"/>
      <c r="Y280" s="313"/>
    </row>
    <row r="281" spans="1:25" x14ac:dyDescent="0.2">
      <c r="A281" s="111"/>
      <c r="B281" s="111"/>
      <c r="C281" s="111"/>
      <c r="D281" s="111"/>
      <c r="E281" s="111"/>
      <c r="F281" s="111"/>
      <c r="G281" s="111"/>
      <c r="H281" s="111"/>
      <c r="I281" s="111"/>
      <c r="J281" s="111"/>
      <c r="K281" s="108"/>
      <c r="L281" s="109"/>
      <c r="M281" s="110"/>
      <c r="N281" s="108"/>
      <c r="O281" s="109"/>
      <c r="P281" s="110"/>
      <c r="Q281" s="108"/>
      <c r="R281" s="109"/>
      <c r="S281" s="110"/>
      <c r="T281" s="103"/>
      <c r="U281" s="313"/>
      <c r="V281" s="313"/>
      <c r="W281" s="313"/>
      <c r="X281" s="313"/>
      <c r="Y281" s="313"/>
    </row>
    <row r="282" spans="1:25" x14ac:dyDescent="0.2">
      <c r="A282" s="111"/>
      <c r="B282" s="111"/>
      <c r="C282" s="111"/>
      <c r="D282" s="111"/>
      <c r="E282" s="111"/>
      <c r="F282" s="111"/>
      <c r="G282" s="111"/>
      <c r="H282" s="111"/>
      <c r="I282" s="111"/>
      <c r="J282" s="111"/>
      <c r="K282" s="3" t="s">
        <v>24</v>
      </c>
      <c r="L282" s="3" t="s">
        <v>25</v>
      </c>
      <c r="M282" s="3" t="s">
        <v>26</v>
      </c>
      <c r="N282" s="3" t="s">
        <v>30</v>
      </c>
      <c r="O282" s="3" t="s">
        <v>5</v>
      </c>
      <c r="P282" s="3" t="s">
        <v>27</v>
      </c>
      <c r="Q282" s="3" t="s">
        <v>28</v>
      </c>
      <c r="R282" s="3" t="s">
        <v>24</v>
      </c>
      <c r="S282" s="3" t="s">
        <v>29</v>
      </c>
      <c r="T282" s="104"/>
      <c r="U282" s="313"/>
      <c r="V282" s="313"/>
      <c r="W282" s="313"/>
      <c r="X282" s="313"/>
      <c r="Y282" s="313"/>
    </row>
    <row r="283" spans="1:25" x14ac:dyDescent="0.2">
      <c r="A283" s="314" t="s">
        <v>43</v>
      </c>
      <c r="B283" s="314"/>
      <c r="C283" s="314"/>
      <c r="D283" s="314"/>
      <c r="E283" s="314"/>
      <c r="F283" s="314"/>
      <c r="G283" s="314"/>
      <c r="H283" s="314"/>
      <c r="I283" s="314"/>
      <c r="J283" s="314"/>
      <c r="K283" s="314"/>
      <c r="L283" s="314"/>
      <c r="M283" s="314"/>
      <c r="N283" s="314"/>
      <c r="O283" s="314"/>
      <c r="P283" s="314"/>
      <c r="Q283" s="314"/>
      <c r="R283" s="314"/>
      <c r="S283" s="314"/>
      <c r="T283" s="314"/>
      <c r="U283" s="313"/>
      <c r="V283" s="313"/>
      <c r="W283" s="313"/>
      <c r="X283" s="313"/>
      <c r="Y283" s="313"/>
    </row>
    <row r="284" spans="1:25" ht="42.6" customHeight="1" x14ac:dyDescent="0.2">
      <c r="A284" s="40" t="s">
        <v>108</v>
      </c>
      <c r="B284" s="315" t="s">
        <v>119</v>
      </c>
      <c r="C284" s="315"/>
      <c r="D284" s="315"/>
      <c r="E284" s="315"/>
      <c r="F284" s="315"/>
      <c r="G284" s="315"/>
      <c r="H284" s="315"/>
      <c r="I284" s="315"/>
      <c r="J284" s="17">
        <v>5</v>
      </c>
      <c r="K284" s="17">
        <v>2</v>
      </c>
      <c r="L284" s="17">
        <v>1</v>
      </c>
      <c r="M284" s="17">
        <v>0</v>
      </c>
      <c r="N284" s="43">
        <f>K284+L284+M284</f>
        <v>3</v>
      </c>
      <c r="O284" s="43">
        <f>P284-N284</f>
        <v>6</v>
      </c>
      <c r="P284" s="43">
        <f>ROUND(PRODUCT(J284,25)/14,0)</f>
        <v>9</v>
      </c>
      <c r="Q284" s="17" t="s">
        <v>28</v>
      </c>
      <c r="R284" s="17"/>
      <c r="S284" s="17"/>
      <c r="T284" s="17" t="s">
        <v>90</v>
      </c>
      <c r="U284" s="313"/>
      <c r="V284" s="313"/>
      <c r="W284" s="313"/>
      <c r="X284" s="313"/>
      <c r="Y284" s="313"/>
    </row>
    <row r="285" spans="1:25" ht="42.6" customHeight="1" x14ac:dyDescent="0.2">
      <c r="A285" s="40" t="s">
        <v>109</v>
      </c>
      <c r="B285" s="315" t="s">
        <v>120</v>
      </c>
      <c r="C285" s="315"/>
      <c r="D285" s="315"/>
      <c r="E285" s="315"/>
      <c r="F285" s="315"/>
      <c r="G285" s="315"/>
      <c r="H285" s="315"/>
      <c r="I285" s="315"/>
      <c r="J285" s="17">
        <v>5</v>
      </c>
      <c r="K285" s="17">
        <v>2</v>
      </c>
      <c r="L285" s="17">
        <v>1</v>
      </c>
      <c r="M285" s="17">
        <v>0</v>
      </c>
      <c r="N285" s="43">
        <f>K285+L285+M285</f>
        <v>3</v>
      </c>
      <c r="O285" s="43">
        <f>P285-N285</f>
        <v>6</v>
      </c>
      <c r="P285" s="43">
        <f>ROUND(PRODUCT(J285,25)/14,0)</f>
        <v>9</v>
      </c>
      <c r="Q285" s="17" t="s">
        <v>28</v>
      </c>
      <c r="R285" s="17"/>
      <c r="S285" s="17"/>
      <c r="T285" s="17" t="s">
        <v>90</v>
      </c>
    </row>
    <row r="286" spans="1:25" x14ac:dyDescent="0.2">
      <c r="A286" s="316" t="s">
        <v>44</v>
      </c>
      <c r="B286" s="317"/>
      <c r="C286" s="317"/>
      <c r="D286" s="317"/>
      <c r="E286" s="317"/>
      <c r="F286" s="317"/>
      <c r="G286" s="317"/>
      <c r="H286" s="317"/>
      <c r="I286" s="317"/>
      <c r="J286" s="317"/>
      <c r="K286" s="317"/>
      <c r="L286" s="317"/>
      <c r="M286" s="317"/>
      <c r="N286" s="317"/>
      <c r="O286" s="317"/>
      <c r="P286" s="317"/>
      <c r="Q286" s="317"/>
      <c r="R286" s="317"/>
      <c r="S286" s="317"/>
      <c r="T286" s="318"/>
    </row>
    <row r="287" spans="1:25" ht="70.7" customHeight="1" x14ac:dyDescent="0.2">
      <c r="A287" s="40" t="s">
        <v>110</v>
      </c>
      <c r="B287" s="173" t="s">
        <v>121</v>
      </c>
      <c r="C287" s="174"/>
      <c r="D287" s="174"/>
      <c r="E287" s="174"/>
      <c r="F287" s="174"/>
      <c r="G287" s="174"/>
      <c r="H287" s="174"/>
      <c r="I287" s="175"/>
      <c r="J287" s="17">
        <v>5</v>
      </c>
      <c r="K287" s="17">
        <v>2</v>
      </c>
      <c r="L287" s="17">
        <v>1</v>
      </c>
      <c r="M287" s="17">
        <v>0</v>
      </c>
      <c r="N287" s="43">
        <f>K287+L287+M287</f>
        <v>3</v>
      </c>
      <c r="O287" s="43">
        <f>P287-N287</f>
        <v>6</v>
      </c>
      <c r="P287" s="43">
        <f>ROUND(PRODUCT(J287,25)/14,0)</f>
        <v>9</v>
      </c>
      <c r="Q287" s="17" t="s">
        <v>28</v>
      </c>
      <c r="R287" s="17"/>
      <c r="S287" s="17"/>
      <c r="T287" s="17" t="s">
        <v>111</v>
      </c>
    </row>
    <row r="288" spans="1:25" ht="19.7" customHeight="1" x14ac:dyDescent="0.2">
      <c r="A288" s="40" t="s">
        <v>112</v>
      </c>
      <c r="B288" s="173" t="s">
        <v>122</v>
      </c>
      <c r="C288" s="174"/>
      <c r="D288" s="174"/>
      <c r="E288" s="174"/>
      <c r="F288" s="174"/>
      <c r="G288" s="174"/>
      <c r="H288" s="174"/>
      <c r="I288" s="175"/>
      <c r="J288" s="17">
        <v>5</v>
      </c>
      <c r="K288" s="17">
        <v>1</v>
      </c>
      <c r="L288" s="17">
        <v>2</v>
      </c>
      <c r="M288" s="17">
        <v>0</v>
      </c>
      <c r="N288" s="43">
        <f>K288+L288+M288</f>
        <v>3</v>
      </c>
      <c r="O288" s="43">
        <f>P288-N288</f>
        <v>6</v>
      </c>
      <c r="P288" s="43">
        <f>ROUND(PRODUCT(J288,25)/14,0)</f>
        <v>9</v>
      </c>
      <c r="Q288" s="17" t="s">
        <v>28</v>
      </c>
      <c r="R288" s="17"/>
      <c r="S288" s="17"/>
      <c r="T288" s="17" t="s">
        <v>113</v>
      </c>
    </row>
    <row r="289" spans="1:20" x14ac:dyDescent="0.2">
      <c r="A289" s="316" t="s">
        <v>45</v>
      </c>
      <c r="B289" s="317"/>
      <c r="C289" s="317"/>
      <c r="D289" s="317"/>
      <c r="E289" s="317"/>
      <c r="F289" s="317"/>
      <c r="G289" s="317"/>
      <c r="H289" s="317"/>
      <c r="I289" s="317"/>
      <c r="J289" s="317"/>
      <c r="K289" s="317"/>
      <c r="L289" s="317"/>
      <c r="M289" s="317"/>
      <c r="N289" s="317"/>
      <c r="O289" s="317"/>
      <c r="P289" s="317"/>
      <c r="Q289" s="317"/>
      <c r="R289" s="317"/>
      <c r="S289" s="317"/>
      <c r="T289" s="318"/>
    </row>
    <row r="290" spans="1:20" ht="42.6" customHeight="1" x14ac:dyDescent="0.2">
      <c r="A290" s="40" t="s">
        <v>114</v>
      </c>
      <c r="B290" s="319" t="s">
        <v>123</v>
      </c>
      <c r="C290" s="320"/>
      <c r="D290" s="320"/>
      <c r="E290" s="320"/>
      <c r="F290" s="320"/>
      <c r="G290" s="320"/>
      <c r="H290" s="320"/>
      <c r="I290" s="321"/>
      <c r="J290" s="17">
        <v>5</v>
      </c>
      <c r="K290" s="17">
        <v>0</v>
      </c>
      <c r="L290" s="17">
        <v>0</v>
      </c>
      <c r="M290" s="17">
        <v>3</v>
      </c>
      <c r="N290" s="43">
        <f>K290+L290+M290</f>
        <v>3</v>
      </c>
      <c r="O290" s="43">
        <f>P290-N290</f>
        <v>6</v>
      </c>
      <c r="P290" s="43">
        <f>ROUND(PRODUCT(J290,25)/14,0)</f>
        <v>9</v>
      </c>
      <c r="Q290" s="17"/>
      <c r="R290" s="17" t="s">
        <v>24</v>
      </c>
      <c r="S290" s="17"/>
      <c r="T290" s="17" t="s">
        <v>111</v>
      </c>
    </row>
    <row r="291" spans="1:20" ht="19.7" customHeight="1" x14ac:dyDescent="0.2">
      <c r="A291" s="40" t="s">
        <v>115</v>
      </c>
      <c r="B291" s="173" t="s">
        <v>124</v>
      </c>
      <c r="C291" s="174"/>
      <c r="D291" s="174"/>
      <c r="E291" s="174"/>
      <c r="F291" s="174"/>
      <c r="G291" s="174"/>
      <c r="H291" s="174"/>
      <c r="I291" s="175"/>
      <c r="J291" s="17">
        <v>5</v>
      </c>
      <c r="K291" s="17">
        <v>1</v>
      </c>
      <c r="L291" s="17">
        <v>2</v>
      </c>
      <c r="M291" s="17">
        <v>0</v>
      </c>
      <c r="N291" s="43">
        <f>K291+L291+M291</f>
        <v>3</v>
      </c>
      <c r="O291" s="43">
        <f>P291-N291</f>
        <v>6</v>
      </c>
      <c r="P291" s="43">
        <f>ROUND(PRODUCT(J291,25)/14,0)</f>
        <v>9</v>
      </c>
      <c r="Q291" s="17" t="s">
        <v>28</v>
      </c>
      <c r="R291" s="17"/>
      <c r="S291" s="17"/>
      <c r="T291" s="17" t="s">
        <v>113</v>
      </c>
    </row>
    <row r="292" spans="1:20" x14ac:dyDescent="0.2">
      <c r="A292" s="170" t="s">
        <v>46</v>
      </c>
      <c r="B292" s="171"/>
      <c r="C292" s="171"/>
      <c r="D292" s="171"/>
      <c r="E292" s="171"/>
      <c r="F292" s="171"/>
      <c r="G292" s="171"/>
      <c r="H292" s="171"/>
      <c r="I292" s="171"/>
      <c r="J292" s="171"/>
      <c r="K292" s="171"/>
      <c r="L292" s="171"/>
      <c r="M292" s="171"/>
      <c r="N292" s="171"/>
      <c r="O292" s="171"/>
      <c r="P292" s="171"/>
      <c r="Q292" s="171"/>
      <c r="R292" s="171"/>
      <c r="S292" s="171"/>
      <c r="T292" s="172"/>
    </row>
    <row r="293" spans="1:20" ht="28.35" customHeight="1" x14ac:dyDescent="0.2">
      <c r="A293" s="40"/>
      <c r="B293" s="173" t="s">
        <v>125</v>
      </c>
      <c r="C293" s="174"/>
      <c r="D293" s="174"/>
      <c r="E293" s="174"/>
      <c r="F293" s="174"/>
      <c r="G293" s="174"/>
      <c r="H293" s="174"/>
      <c r="I293" s="175"/>
      <c r="J293" s="17">
        <v>5</v>
      </c>
      <c r="K293" s="17"/>
      <c r="L293" s="17"/>
      <c r="M293" s="17"/>
      <c r="N293" s="43"/>
      <c r="O293" s="43"/>
      <c r="P293" s="43"/>
      <c r="Q293" s="17"/>
      <c r="R293" s="17"/>
      <c r="S293" s="17"/>
      <c r="T293" s="46"/>
    </row>
    <row r="294" spans="1:20" x14ac:dyDescent="0.2">
      <c r="A294" s="176" t="s">
        <v>58</v>
      </c>
      <c r="B294" s="176"/>
      <c r="C294" s="176"/>
      <c r="D294" s="176"/>
      <c r="E294" s="176"/>
      <c r="F294" s="176"/>
      <c r="G294" s="176"/>
      <c r="H294" s="176"/>
      <c r="I294" s="176"/>
      <c r="J294" s="39">
        <f>SUM(J284:J285,J287:J288,J290:J291,J293)</f>
        <v>35</v>
      </c>
      <c r="K294" s="39">
        <f t="shared" ref="K294:P294" si="58">SUM(K284:K285,K287:K288,K290:K291,K293)</f>
        <v>8</v>
      </c>
      <c r="L294" s="39">
        <f t="shared" si="58"/>
        <v>7</v>
      </c>
      <c r="M294" s="39">
        <f t="shared" si="58"/>
        <v>3</v>
      </c>
      <c r="N294" s="39">
        <f t="shared" si="58"/>
        <v>18</v>
      </c>
      <c r="O294" s="39">
        <f t="shared" si="58"/>
        <v>36</v>
      </c>
      <c r="P294" s="39">
        <f t="shared" si="58"/>
        <v>54</v>
      </c>
      <c r="Q294" s="44">
        <f>COUNTIF(Q284:Q285,"E")+COUNTIF(Q287:Q288,"E")+COUNTIF(Q290:Q291,"E")+COUNTIF(Q293,"E")</f>
        <v>5</v>
      </c>
      <c r="R294" s="44">
        <f>COUNTIF(R284:R285,"C")+COUNTIF(R287:R288,"C")+COUNTIF(R290:R291,"C")+COUNTIF(R293,"C")</f>
        <v>1</v>
      </c>
      <c r="S294" s="44">
        <f>COUNTIF(S284:S285,"VP")+COUNTIF(S287:S288,"VP")+COUNTIF(S290:S291,"VP")+COUNTIF(S293,"VP")</f>
        <v>0</v>
      </c>
      <c r="T294" s="45"/>
    </row>
    <row r="295" spans="1:20" x14ac:dyDescent="0.2">
      <c r="A295" s="176" t="s">
        <v>42</v>
      </c>
      <c r="B295" s="176"/>
      <c r="C295" s="176"/>
      <c r="D295" s="176"/>
      <c r="E295" s="176"/>
      <c r="F295" s="176"/>
      <c r="G295" s="176"/>
      <c r="H295" s="176"/>
      <c r="I295" s="176"/>
      <c r="J295" s="176"/>
      <c r="K295" s="39">
        <f>SUM(K284:K285,K287:K288,K290:K291)*14</f>
        <v>112</v>
      </c>
      <c r="L295" s="39">
        <f t="shared" ref="L295:P295" si="59">SUM(L284:L285,L287:L288,L290:L291)*14</f>
        <v>98</v>
      </c>
      <c r="M295" s="39">
        <f t="shared" si="59"/>
        <v>42</v>
      </c>
      <c r="N295" s="39">
        <f t="shared" si="59"/>
        <v>252</v>
      </c>
      <c r="O295" s="39">
        <f t="shared" si="59"/>
        <v>504</v>
      </c>
      <c r="P295" s="39">
        <f t="shared" si="59"/>
        <v>756</v>
      </c>
      <c r="Q295" s="202"/>
      <c r="R295" s="202"/>
      <c r="S295" s="202"/>
      <c r="T295" s="202"/>
    </row>
    <row r="296" spans="1:20" x14ac:dyDescent="0.2">
      <c r="A296" s="176"/>
      <c r="B296" s="176"/>
      <c r="C296" s="176"/>
      <c r="D296" s="176"/>
      <c r="E296" s="176"/>
      <c r="F296" s="176"/>
      <c r="G296" s="176"/>
      <c r="H296" s="176"/>
      <c r="I296" s="176"/>
      <c r="J296" s="176"/>
      <c r="K296" s="189">
        <f>SUM(K295:M295)</f>
        <v>252</v>
      </c>
      <c r="L296" s="189"/>
      <c r="M296" s="189"/>
      <c r="N296" s="189">
        <f>SUM(N295:O295)</f>
        <v>756</v>
      </c>
      <c r="O296" s="189"/>
      <c r="P296" s="189"/>
      <c r="Q296" s="202"/>
      <c r="R296" s="202"/>
      <c r="S296" s="202"/>
      <c r="T296" s="202"/>
    </row>
    <row r="297" spans="1:20" x14ac:dyDescent="0.2">
      <c r="A297" s="23"/>
      <c r="B297" s="23"/>
      <c r="C297" s="23"/>
      <c r="D297" s="23"/>
      <c r="E297" s="23"/>
      <c r="F297" s="23"/>
      <c r="G297" s="23"/>
      <c r="H297" s="23"/>
      <c r="I297" s="23"/>
      <c r="J297" s="23"/>
      <c r="K297" s="23"/>
      <c r="L297" s="23"/>
      <c r="M297" s="23"/>
      <c r="N297" s="23"/>
      <c r="O297" s="23"/>
      <c r="P297" s="23"/>
      <c r="Q297" s="23"/>
      <c r="R297" s="23"/>
      <c r="S297" s="23"/>
      <c r="T297" s="23"/>
    </row>
    <row r="298" spans="1:20" x14ac:dyDescent="0.2">
      <c r="A298" s="156" t="s">
        <v>116</v>
      </c>
      <c r="B298" s="156"/>
      <c r="C298" s="156"/>
      <c r="D298" s="156"/>
      <c r="E298" s="156"/>
      <c r="F298" s="156"/>
      <c r="G298" s="156"/>
      <c r="H298" s="156"/>
      <c r="I298" s="156"/>
      <c r="J298" s="156"/>
      <c r="K298" s="156"/>
      <c r="L298" s="156"/>
      <c r="M298" s="156"/>
      <c r="N298" s="156"/>
      <c r="O298" s="156"/>
      <c r="P298" s="156"/>
      <c r="Q298" s="156"/>
      <c r="R298" s="156"/>
      <c r="S298" s="156"/>
      <c r="T298" s="156"/>
    </row>
    <row r="299" spans="1:20" x14ac:dyDescent="0.2">
      <c r="A299" s="156" t="s">
        <v>117</v>
      </c>
      <c r="B299" s="156"/>
      <c r="C299" s="156"/>
      <c r="D299" s="156"/>
      <c r="E299" s="156"/>
      <c r="F299" s="156"/>
      <c r="G299" s="156"/>
      <c r="H299" s="156"/>
      <c r="I299" s="156"/>
      <c r="J299" s="156"/>
      <c r="K299" s="156"/>
      <c r="L299" s="156"/>
      <c r="M299" s="156"/>
      <c r="N299" s="156"/>
      <c r="O299" s="156"/>
      <c r="P299" s="156"/>
      <c r="Q299" s="156"/>
      <c r="R299" s="156"/>
      <c r="S299" s="156"/>
      <c r="T299" s="156"/>
    </row>
    <row r="300" spans="1:20" x14ac:dyDescent="0.2">
      <c r="A300" s="156" t="s">
        <v>118</v>
      </c>
      <c r="B300" s="156"/>
      <c r="C300" s="156"/>
      <c r="D300" s="156"/>
      <c r="E300" s="156"/>
      <c r="F300" s="156"/>
      <c r="G300" s="156"/>
      <c r="H300" s="156"/>
      <c r="I300" s="156"/>
      <c r="J300" s="156"/>
      <c r="K300" s="156"/>
      <c r="L300" s="156"/>
      <c r="M300" s="156"/>
      <c r="N300" s="156"/>
      <c r="O300" s="156"/>
      <c r="P300" s="156"/>
      <c r="Q300" s="156"/>
      <c r="R300" s="156"/>
      <c r="S300" s="156"/>
      <c r="T300" s="156"/>
    </row>
  </sheetData>
  <sheetProtection deleteColumns="0" deleteRows="0" selectLockedCells="1" selectUnlockedCells="1"/>
  <dataConsolidate/>
  <mergeCells count="395">
    <mergeCell ref="B200:I200"/>
    <mergeCell ref="M2:T2"/>
    <mergeCell ref="K249:N250"/>
    <mergeCell ref="O249:Q250"/>
    <mergeCell ref="R249:T250"/>
    <mergeCell ref="A276:T276"/>
    <mergeCell ref="M261:N261"/>
    <mergeCell ref="A258:N258"/>
    <mergeCell ref="A227:T227"/>
    <mergeCell ref="B228:I228"/>
    <mergeCell ref="B229:I229"/>
    <mergeCell ref="B202:I202"/>
    <mergeCell ref="B213:I213"/>
    <mergeCell ref="B215:I215"/>
    <mergeCell ref="B199:I199"/>
    <mergeCell ref="U278:Y284"/>
    <mergeCell ref="A283:T283"/>
    <mergeCell ref="B284:I284"/>
    <mergeCell ref="B285:I285"/>
    <mergeCell ref="A286:T286"/>
    <mergeCell ref="A278:T279"/>
    <mergeCell ref="A280:A282"/>
    <mergeCell ref="B280:I282"/>
    <mergeCell ref="J280:J282"/>
    <mergeCell ref="K280:M281"/>
    <mergeCell ref="N280:P281"/>
    <mergeCell ref="Q280:S281"/>
    <mergeCell ref="T280:T282"/>
    <mergeCell ref="U266:V266"/>
    <mergeCell ref="W266:X266"/>
    <mergeCell ref="Y266:AA266"/>
    <mergeCell ref="U267:AA270"/>
    <mergeCell ref="U263:V263"/>
    <mergeCell ref="W263:X263"/>
    <mergeCell ref="Y263:AA263"/>
    <mergeCell ref="U264:V264"/>
    <mergeCell ref="W264:X264"/>
    <mergeCell ref="Y264:AA264"/>
    <mergeCell ref="AB263:AD263"/>
    <mergeCell ref="AB264:AD264"/>
    <mergeCell ref="U265:V265"/>
    <mergeCell ref="W265:X265"/>
    <mergeCell ref="Y265:AA265"/>
    <mergeCell ref="U259:AA260"/>
    <mergeCell ref="U261:V262"/>
    <mergeCell ref="W261:X262"/>
    <mergeCell ref="Y261:AA262"/>
    <mergeCell ref="A230:I230"/>
    <mergeCell ref="A231:J232"/>
    <mergeCell ref="K234:T234"/>
    <mergeCell ref="R241:S241"/>
    <mergeCell ref="R242:S242"/>
    <mergeCell ref="R243:S243"/>
    <mergeCell ref="R244:S244"/>
    <mergeCell ref="A249:H250"/>
    <mergeCell ref="I249:J250"/>
    <mergeCell ref="L243:M243"/>
    <mergeCell ref="B243:G243"/>
    <mergeCell ref="U243:X243"/>
    <mergeCell ref="U251:Y251"/>
    <mergeCell ref="U253:Y253"/>
    <mergeCell ref="I253:J253"/>
    <mergeCell ref="N232:P232"/>
    <mergeCell ref="H244:I244"/>
    <mergeCell ref="A244:G244"/>
    <mergeCell ref="P243:Q243"/>
    <mergeCell ref="N243:O243"/>
    <mergeCell ref="N241:O241"/>
    <mergeCell ref="J243:K243"/>
    <mergeCell ref="H243:I243"/>
    <mergeCell ref="A233:J233"/>
    <mergeCell ref="A234:J234"/>
    <mergeCell ref="B240:G241"/>
    <mergeCell ref="K252:N252"/>
    <mergeCell ref="K253:N253"/>
    <mergeCell ref="O253:Q253"/>
    <mergeCell ref="A218:J219"/>
    <mergeCell ref="B205:I205"/>
    <mergeCell ref="B203:I203"/>
    <mergeCell ref="B211:I211"/>
    <mergeCell ref="A212:T212"/>
    <mergeCell ref="B208:I208"/>
    <mergeCell ref="A217:I217"/>
    <mergeCell ref="B209:I209"/>
    <mergeCell ref="B210:I210"/>
    <mergeCell ref="B204:I204"/>
    <mergeCell ref="K219:M219"/>
    <mergeCell ref="A178:T178"/>
    <mergeCell ref="A239:T239"/>
    <mergeCell ref="K232:M232"/>
    <mergeCell ref="J244:K244"/>
    <mergeCell ref="R240:T240"/>
    <mergeCell ref="J240:O240"/>
    <mergeCell ref="H240:I241"/>
    <mergeCell ref="J241:K241"/>
    <mergeCell ref="P240:Q241"/>
    <mergeCell ref="L241:M241"/>
    <mergeCell ref="N244:O244"/>
    <mergeCell ref="L244:M244"/>
    <mergeCell ref="Q224:S225"/>
    <mergeCell ref="A222:T223"/>
    <mergeCell ref="K224:M225"/>
    <mergeCell ref="T224:T226"/>
    <mergeCell ref="N224:P225"/>
    <mergeCell ref="B224:I226"/>
    <mergeCell ref="J224:J226"/>
    <mergeCell ref="A224:A226"/>
    <mergeCell ref="K190:T190"/>
    <mergeCell ref="K191:T191"/>
    <mergeCell ref="B214:I214"/>
    <mergeCell ref="A193:T194"/>
    <mergeCell ref="U99:W99"/>
    <mergeCell ref="U111:W111"/>
    <mergeCell ref="U124:W124"/>
    <mergeCell ref="B90:I92"/>
    <mergeCell ref="N90:P91"/>
    <mergeCell ref="Q90:S91"/>
    <mergeCell ref="K102:M103"/>
    <mergeCell ref="B106:I106"/>
    <mergeCell ref="B99:I99"/>
    <mergeCell ref="T116:T118"/>
    <mergeCell ref="A114:T115"/>
    <mergeCell ref="A116:A118"/>
    <mergeCell ref="B116:I118"/>
    <mergeCell ref="K160:M160"/>
    <mergeCell ref="N160:P160"/>
    <mergeCell ref="A161:J161"/>
    <mergeCell ref="K161:T161"/>
    <mergeCell ref="A162:J162"/>
    <mergeCell ref="J151:J153"/>
    <mergeCell ref="T151:T153"/>
    <mergeCell ref="A154:T154"/>
    <mergeCell ref="S156:S157"/>
    <mergeCell ref="A12:K12"/>
    <mergeCell ref="B123:I123"/>
    <mergeCell ref="B121:I121"/>
    <mergeCell ref="N102:P103"/>
    <mergeCell ref="Q102:S103"/>
    <mergeCell ref="B96:I96"/>
    <mergeCell ref="T77:T79"/>
    <mergeCell ref="K116:M117"/>
    <mergeCell ref="B124:I124"/>
    <mergeCell ref="N77:P78"/>
    <mergeCell ref="B77:I79"/>
    <mergeCell ref="K77:M78"/>
    <mergeCell ref="J77:J79"/>
    <mergeCell ref="K90:M91"/>
    <mergeCell ref="B181:I181"/>
    <mergeCell ref="A13:K13"/>
    <mergeCell ref="A17:K17"/>
    <mergeCell ref="A129:A131"/>
    <mergeCell ref="A149:T150"/>
    <mergeCell ref="A171:T172"/>
    <mergeCell ref="A173:T174"/>
    <mergeCell ref="K175:M176"/>
    <mergeCell ref="N175:P176"/>
    <mergeCell ref="Q175:S176"/>
    <mergeCell ref="T175:T177"/>
    <mergeCell ref="T129:T131"/>
    <mergeCell ref="K129:M130"/>
    <mergeCell ref="N129:P130"/>
    <mergeCell ref="Q129:S130"/>
    <mergeCell ref="J129:J131"/>
    <mergeCell ref="B129:I131"/>
    <mergeCell ref="A148:J148"/>
    <mergeCell ref="P156:P157"/>
    <mergeCell ref="A163:T166"/>
    <mergeCell ref="A159:J160"/>
    <mergeCell ref="Q159:T160"/>
    <mergeCell ref="B155:I155"/>
    <mergeCell ref="Q156:Q157"/>
    <mergeCell ref="K162:T162"/>
    <mergeCell ref="B182:I182"/>
    <mergeCell ref="A175:A177"/>
    <mergeCell ref="K151:M152"/>
    <mergeCell ref="N151:P152"/>
    <mergeCell ref="Q151:S152"/>
    <mergeCell ref="A1:K1"/>
    <mergeCell ref="A3:K3"/>
    <mergeCell ref="B84:I84"/>
    <mergeCell ref="B132:T132"/>
    <mergeCell ref="B135:T135"/>
    <mergeCell ref="A90:A92"/>
    <mergeCell ref="B93:I93"/>
    <mergeCell ref="B94:I94"/>
    <mergeCell ref="M16:T16"/>
    <mergeCell ref="A19:K19"/>
    <mergeCell ref="A2:K2"/>
    <mergeCell ref="O5:Q5"/>
    <mergeCell ref="O3:Q3"/>
    <mergeCell ref="O4:Q4"/>
    <mergeCell ref="M4:N4"/>
    <mergeCell ref="A11:K11"/>
    <mergeCell ref="A9:K9"/>
    <mergeCell ref="B180:I180"/>
    <mergeCell ref="U3:X3"/>
    <mergeCell ref="U4:X4"/>
    <mergeCell ref="U5:X5"/>
    <mergeCell ref="U6:X6"/>
    <mergeCell ref="U11:X17"/>
    <mergeCell ref="K148:T148"/>
    <mergeCell ref="A77:A79"/>
    <mergeCell ref="R3:T3"/>
    <mergeCell ref="R4:T4"/>
    <mergeCell ref="A20:K20"/>
    <mergeCell ref="A4:K4"/>
    <mergeCell ref="A127:T128"/>
    <mergeCell ref="K147:T147"/>
    <mergeCell ref="A145:J146"/>
    <mergeCell ref="B134:I134"/>
    <mergeCell ref="B133:I133"/>
    <mergeCell ref="B137:I137"/>
    <mergeCell ref="B140:I140"/>
    <mergeCell ref="U119:W119"/>
    <mergeCell ref="M3:N3"/>
    <mergeCell ref="M5:N5"/>
    <mergeCell ref="A73:T74"/>
    <mergeCell ref="M22:T26"/>
    <mergeCell ref="R5:T5"/>
    <mergeCell ref="B185:I185"/>
    <mergeCell ref="A183:T183"/>
    <mergeCell ref="A187:I187"/>
    <mergeCell ref="B186:I186"/>
    <mergeCell ref="K195:M196"/>
    <mergeCell ref="A195:A197"/>
    <mergeCell ref="T195:T197"/>
    <mergeCell ref="Q188:T189"/>
    <mergeCell ref="N189:P189"/>
    <mergeCell ref="A190:J190"/>
    <mergeCell ref="A191:J191"/>
    <mergeCell ref="A298:T298"/>
    <mergeCell ref="A299:T299"/>
    <mergeCell ref="P242:Q242"/>
    <mergeCell ref="N242:O242"/>
    <mergeCell ref="L242:M242"/>
    <mergeCell ref="J242:K242"/>
    <mergeCell ref="H242:I242"/>
    <mergeCell ref="A240:A241"/>
    <mergeCell ref="B242:G242"/>
    <mergeCell ref="Q295:T296"/>
    <mergeCell ref="K296:M296"/>
    <mergeCell ref="P244:Q244"/>
    <mergeCell ref="K254:N254"/>
    <mergeCell ref="O254:Q254"/>
    <mergeCell ref="A260:L260"/>
    <mergeCell ref="A259:L259"/>
    <mergeCell ref="A261:L261"/>
    <mergeCell ref="M259:N259"/>
    <mergeCell ref="B287:I287"/>
    <mergeCell ref="B288:I288"/>
    <mergeCell ref="A289:T289"/>
    <mergeCell ref="B290:I290"/>
    <mergeCell ref="B291:I291"/>
    <mergeCell ref="A295:J296"/>
    <mergeCell ref="A254:H254"/>
    <mergeCell ref="I254:J254"/>
    <mergeCell ref="K251:N251"/>
    <mergeCell ref="K189:M189"/>
    <mergeCell ref="N195:P196"/>
    <mergeCell ref="Q195:S196"/>
    <mergeCell ref="B216:I216"/>
    <mergeCell ref="B206:I206"/>
    <mergeCell ref="N296:P296"/>
    <mergeCell ref="A198:T198"/>
    <mergeCell ref="B195:I197"/>
    <mergeCell ref="J195:J197"/>
    <mergeCell ref="A188:J189"/>
    <mergeCell ref="K221:T221"/>
    <mergeCell ref="K233:T233"/>
    <mergeCell ref="Q231:T232"/>
    <mergeCell ref="Q218:T219"/>
    <mergeCell ref="N219:P219"/>
    <mergeCell ref="A221:J221"/>
    <mergeCell ref="A220:J220"/>
    <mergeCell ref="K220:T220"/>
    <mergeCell ref="B201:I201"/>
    <mergeCell ref="B207:I207"/>
    <mergeCell ref="R156:R157"/>
    <mergeCell ref="T156:T157"/>
    <mergeCell ref="B184:I184"/>
    <mergeCell ref="B179:I179"/>
    <mergeCell ref="B175:I177"/>
    <mergeCell ref="J175:J177"/>
    <mergeCell ref="A158:I158"/>
    <mergeCell ref="A300:T300"/>
    <mergeCell ref="A253:G253"/>
    <mergeCell ref="R251:T251"/>
    <mergeCell ref="A248:T248"/>
    <mergeCell ref="A251:G251"/>
    <mergeCell ref="A252:G252"/>
    <mergeCell ref="O251:Q251"/>
    <mergeCell ref="O252:Q252"/>
    <mergeCell ref="R252:T252"/>
    <mergeCell ref="R253:T253"/>
    <mergeCell ref="R254:T254"/>
    <mergeCell ref="M260:N260"/>
    <mergeCell ref="I251:J251"/>
    <mergeCell ref="I252:J252"/>
    <mergeCell ref="A292:T292"/>
    <mergeCell ref="B293:I293"/>
    <mergeCell ref="A294:I294"/>
    <mergeCell ref="B83:I83"/>
    <mergeCell ref="B81:I81"/>
    <mergeCell ref="N116:P117"/>
    <mergeCell ref="A156:A157"/>
    <mergeCell ref="B156:I157"/>
    <mergeCell ref="J156:J157"/>
    <mergeCell ref="K156:K157"/>
    <mergeCell ref="L156:L157"/>
    <mergeCell ref="M156:M157"/>
    <mergeCell ref="A151:A153"/>
    <mergeCell ref="B151:I153"/>
    <mergeCell ref="N156:N157"/>
    <mergeCell ref="O156:O157"/>
    <mergeCell ref="B139:I139"/>
    <mergeCell ref="B143:I143"/>
    <mergeCell ref="B141:T141"/>
    <mergeCell ref="K146:M146"/>
    <mergeCell ref="B138:T138"/>
    <mergeCell ref="Q145:T146"/>
    <mergeCell ref="A144:I144"/>
    <mergeCell ref="B142:I142"/>
    <mergeCell ref="B136:I136"/>
    <mergeCell ref="N146:P146"/>
    <mergeCell ref="A147:J147"/>
    <mergeCell ref="T102:T104"/>
    <mergeCell ref="T90:T92"/>
    <mergeCell ref="M17:T17"/>
    <mergeCell ref="U32:V32"/>
    <mergeCell ref="U33:V33"/>
    <mergeCell ref="B98:I98"/>
    <mergeCell ref="B122:I122"/>
    <mergeCell ref="B120:I120"/>
    <mergeCell ref="J116:J118"/>
    <mergeCell ref="M29:T33"/>
    <mergeCell ref="J90:J92"/>
    <mergeCell ref="B105:I105"/>
    <mergeCell ref="B107:I107"/>
    <mergeCell ref="B82:I82"/>
    <mergeCell ref="B80:I80"/>
    <mergeCell ref="I29:K30"/>
    <mergeCell ref="B95:I95"/>
    <mergeCell ref="B109:I109"/>
    <mergeCell ref="B110:I110"/>
    <mergeCell ref="B111:I111"/>
    <mergeCell ref="B119:I119"/>
    <mergeCell ref="B108:I108"/>
    <mergeCell ref="U93:W93"/>
    <mergeCell ref="U80:W80"/>
    <mergeCell ref="A22:K26"/>
    <mergeCell ref="H29:H31"/>
    <mergeCell ref="G29:G31"/>
    <mergeCell ref="D29:F30"/>
    <mergeCell ref="B29:C30"/>
    <mergeCell ref="A14:K14"/>
    <mergeCell ref="A6:K6"/>
    <mergeCell ref="U85:W85"/>
    <mergeCell ref="Q116:S117"/>
    <mergeCell ref="A100:T101"/>
    <mergeCell ref="A75:T76"/>
    <mergeCell ref="A88:T89"/>
    <mergeCell ref="Q77:S78"/>
    <mergeCell ref="A15:K15"/>
    <mergeCell ref="U105:W105"/>
    <mergeCell ref="A16:K16"/>
    <mergeCell ref="A18:K18"/>
    <mergeCell ref="A28:K28"/>
    <mergeCell ref="A102:A104"/>
    <mergeCell ref="B102:I104"/>
    <mergeCell ref="B85:I85"/>
    <mergeCell ref="B97:I97"/>
    <mergeCell ref="A29:A31"/>
    <mergeCell ref="J102:J104"/>
    <mergeCell ref="U30:Y31"/>
    <mergeCell ref="A7:K8"/>
    <mergeCell ref="U35:Y42"/>
    <mergeCell ref="U43:Z43"/>
    <mergeCell ref="U59:Y59"/>
    <mergeCell ref="U60:Y72"/>
    <mergeCell ref="A65:A68"/>
    <mergeCell ref="B65:G65"/>
    <mergeCell ref="B66:T67"/>
    <mergeCell ref="B68:G68"/>
    <mergeCell ref="A69:T72"/>
    <mergeCell ref="A63:T64"/>
    <mergeCell ref="M14:T14"/>
    <mergeCell ref="M8:T10"/>
    <mergeCell ref="A34:T35"/>
    <mergeCell ref="A36:J45"/>
    <mergeCell ref="A46:J61"/>
    <mergeCell ref="K46:T61"/>
    <mergeCell ref="K36:T45"/>
    <mergeCell ref="A10:K10"/>
    <mergeCell ref="M15:T15"/>
    <mergeCell ref="M18:T18"/>
  </mergeCells>
  <phoneticPr fontId="5" type="noConversion"/>
  <conditionalFormatting sqref="U3:U6">
    <cfRule type="cellIs" dxfId="70" priority="1" operator="equal">
      <formula>"Trebuie alocate cel puțin 14 de ore pe săptămână"</formula>
    </cfRule>
    <cfRule type="cellIs" dxfId="69" priority="2" operator="equal">
      <formula>"Suma trebuie să fie 52"</formula>
    </cfRule>
    <cfRule type="cellIs" dxfId="68" priority="3" operator="equal">
      <formula>"Corect"</formula>
    </cfRule>
    <cfRule type="cellIs" dxfId="67" priority="4" operator="equal">
      <formula>"Suma trebuie să fie 52"</formula>
    </cfRule>
    <cfRule type="cellIs" dxfId="66" priority="5" operator="equal">
      <formula>"Corect"</formula>
    </cfRule>
    <cfRule type="cellIs" dxfId="65" priority="6" operator="equal">
      <formula>SUM($B$32:$J$32)</formula>
    </cfRule>
    <cfRule type="cellIs" dxfId="64" priority="7" operator="lessThan">
      <formula>"(SUM(B28:K28)=52"</formula>
    </cfRule>
    <cfRule type="cellIs" dxfId="63" priority="8" operator="equal">
      <formula>52</formula>
    </cfRule>
    <cfRule type="cellIs" dxfId="62" priority="9" operator="equal">
      <formula>$K$32</formula>
    </cfRule>
    <cfRule type="cellIs" dxfId="61" priority="10" operator="equal">
      <formula>$B$32:$K$32=52</formula>
    </cfRule>
    <cfRule type="cellIs" dxfId="60" priority="11" operator="equal">
      <formula>"NU e bine"</formula>
    </cfRule>
    <cfRule type="cellIs" dxfId="59" priority="12" operator="equal">
      <formula>"E bine"</formula>
    </cfRule>
  </conditionalFormatting>
  <conditionalFormatting sqref="U32:U33 U243 L33">
    <cfRule type="cellIs" dxfId="58" priority="282" operator="equal">
      <formula>"E bine"</formula>
    </cfRule>
  </conditionalFormatting>
  <conditionalFormatting sqref="U32:U33 U243">
    <cfRule type="cellIs" dxfId="57" priority="281" operator="equal">
      <formula>"NU e bine"</formula>
    </cfRule>
  </conditionalFormatting>
  <conditionalFormatting sqref="U80">
    <cfRule type="containsText" dxfId="56" priority="23" operator="containsText" text="Sunt necesare cel puțin 30 de credite">
      <formula>NOT(ISERROR(SEARCH("Sunt necesare cel puțin 30 de credite",U80)))</formula>
    </cfRule>
  </conditionalFormatting>
  <conditionalFormatting sqref="U93">
    <cfRule type="containsText" dxfId="55" priority="25" operator="containsText" text="Sunt necesare cel puțin 30 de credite">
      <formula>NOT(ISERROR(SEARCH("Sunt necesare cel puțin 30 de credite",U93)))</formula>
    </cfRule>
  </conditionalFormatting>
  <conditionalFormatting sqref="U105">
    <cfRule type="containsText" dxfId="54" priority="69" operator="containsText" text="Sunt necesare cel puțin 30 de credite">
      <formula>NOT(ISERROR(SEARCH("Sunt necesare cel puțin 30 de credite",U105)))</formula>
    </cfRule>
  </conditionalFormatting>
  <conditionalFormatting sqref="U119">
    <cfRule type="containsText" dxfId="53" priority="67" operator="containsText" text="Sunt necesare cel puțin 30 de credite">
      <formula>NOT(ISERROR(SEARCH("Sunt necesare cel puțin 30 de credite",U119)))</formula>
    </cfRule>
  </conditionalFormatting>
  <conditionalFormatting sqref="U251">
    <cfRule type="cellIs" dxfId="52" priority="50" operator="equal">
      <formula>"Corect"</formula>
    </cfRule>
    <cfRule type="cellIs" dxfId="51" priority="49" operator="equal">
      <formula>"Suma trebuie să fie 52"</formula>
    </cfRule>
    <cfRule type="cellIs" dxfId="50" priority="48" operator="equal">
      <formula>$B$32:$K$32=52</formula>
    </cfRule>
    <cfRule type="cellIs" dxfId="49" priority="47" operator="equal">
      <formula>$K$32</formula>
    </cfRule>
    <cfRule type="cellIs" dxfId="48" priority="46" operator="equal">
      <formula>52</formula>
    </cfRule>
    <cfRule type="cellIs" dxfId="47" priority="43" operator="equal">
      <formula>"Corect"</formula>
    </cfRule>
    <cfRule type="cellIs" dxfId="46" priority="44" operator="equal">
      <formula>SUM($B$32:$J$32)</formula>
    </cfRule>
    <cfRule type="cellIs" dxfId="45" priority="41" operator="equal">
      <formula>"Bilanțul general nu corespunde cu Bilanțul pe tipuri de discipline"</formula>
    </cfRule>
    <cfRule type="cellIs" dxfId="44" priority="45" operator="lessThan">
      <formula>"(SUM(B28:K28)=52"</formula>
    </cfRule>
    <cfRule type="cellIs" dxfId="43" priority="42" operator="equal">
      <formula>"Suma trebuie să fie 52"</formula>
    </cfRule>
    <cfRule type="cellIs" dxfId="42" priority="51" operator="equal">
      <formula>"NU e bine"</formula>
    </cfRule>
    <cfRule type="cellIs" dxfId="41" priority="52" operator="equal">
      <formula>"E bine"</formula>
    </cfRule>
  </conditionalFormatting>
  <conditionalFormatting sqref="U253">
    <cfRule type="cellIs" dxfId="40" priority="35" operator="equal">
      <formula>$K$32</formula>
    </cfRule>
    <cfRule type="cellIs" dxfId="39" priority="36" operator="equal">
      <formula>$B$32:$K$32=52</formula>
    </cfRule>
    <cfRule type="cellIs" dxfId="38" priority="38" operator="equal">
      <formula>"Corect"</formula>
    </cfRule>
    <cfRule type="cellIs" dxfId="37" priority="39" operator="equal">
      <formula>"NU e bine"</formula>
    </cfRule>
    <cfRule type="cellIs" dxfId="36" priority="40" operator="equal">
      <formula>"E bine"</formula>
    </cfRule>
    <cfRule type="cellIs" dxfId="35" priority="37" operator="equal">
      <formula>"Suma trebuie să fie 52"</formula>
    </cfRule>
    <cfRule type="cellIs" dxfId="34" priority="29" operator="equal">
      <formula>"Bilanțul general nu corespunde cu Bilanțul pe tipuri de discipline"</formula>
    </cfRule>
    <cfRule type="cellIs" dxfId="33" priority="30" operator="equal">
      <formula>"Suma trebuie să fie 52"</formula>
    </cfRule>
    <cfRule type="cellIs" dxfId="32" priority="31" operator="equal">
      <formula>"Corect"</formula>
    </cfRule>
    <cfRule type="cellIs" dxfId="31" priority="32" operator="equal">
      <formula>SUM($B$32:$J$32)</formula>
    </cfRule>
    <cfRule type="cellIs" dxfId="30" priority="33" operator="lessThan">
      <formula>"(SUM(B28:K28)=52"</formula>
    </cfRule>
    <cfRule type="cellIs" dxfId="29" priority="34" operator="equal">
      <formula>52</formula>
    </cfRule>
  </conditionalFormatting>
  <conditionalFormatting sqref="U32:V32">
    <cfRule type="cellIs" dxfId="28" priority="135" operator="equal">
      <formula>"Correct"</formula>
    </cfRule>
  </conditionalFormatting>
  <conditionalFormatting sqref="U32:V33">
    <cfRule type="cellIs" dxfId="27" priority="274" operator="equal">
      <formula>"Suma trebuie să fie 52"</formula>
    </cfRule>
    <cfRule type="cellIs" dxfId="26" priority="275" operator="equal">
      <formula>"Corect"</formula>
    </cfRule>
    <cfRule type="cellIs" dxfId="25" priority="276" operator="equal">
      <formula>SUM($B$32:$J$32)</formula>
    </cfRule>
    <cfRule type="cellIs" dxfId="24" priority="277" operator="lessThan">
      <formula>"(SUM(B28:K28)=52"</formula>
    </cfRule>
    <cfRule type="cellIs" dxfId="23" priority="278" operator="equal">
      <formula>52</formula>
    </cfRule>
    <cfRule type="cellIs" dxfId="22" priority="279" operator="equal">
      <formula>$K$32</formula>
    </cfRule>
    <cfRule type="cellIs" dxfId="21" priority="280" operator="equal">
      <formula>$B$32:$K$32=52</formula>
    </cfRule>
  </conditionalFormatting>
  <conditionalFormatting sqref="U243:V243 U32:V33">
    <cfRule type="cellIs" dxfId="20" priority="269" operator="equal">
      <formula>"Suma trebuie să fie 52"</formula>
    </cfRule>
  </conditionalFormatting>
  <conditionalFormatting sqref="U243:V243">
    <cfRule type="cellIs" dxfId="19" priority="245" operator="equal">
      <formula>"Nu corespunde cu tabelul de opționale"</formula>
    </cfRule>
    <cfRule type="cellIs" dxfId="18" priority="248" operator="equal">
      <formula>"Suma trebuie să fie 52"</formula>
    </cfRule>
    <cfRule type="cellIs" dxfId="17" priority="249" operator="equal">
      <formula>"Corect"</formula>
    </cfRule>
    <cfRule type="cellIs" dxfId="16" priority="250" operator="equal">
      <formula>SUM($B$32:$J$32)</formula>
    </cfRule>
    <cfRule type="cellIs" dxfId="15" priority="252" operator="equal">
      <formula>52</formula>
    </cfRule>
    <cfRule type="cellIs" dxfId="14" priority="253" operator="equal">
      <formula>$K$32</formula>
    </cfRule>
    <cfRule type="cellIs" dxfId="13" priority="254" operator="equal">
      <formula>$B$32:$K$32=52</formula>
    </cfRule>
    <cfRule type="cellIs" dxfId="12" priority="251" operator="lessThan">
      <formula>"(SUM(B28:K28)=52"</formula>
    </cfRule>
  </conditionalFormatting>
  <conditionalFormatting sqref="U80:W80">
    <cfRule type="containsText" dxfId="11" priority="22" operator="containsText" text="Corect">
      <formula>NOT(ISERROR(SEARCH("Corect",U80)))</formula>
    </cfRule>
  </conditionalFormatting>
  <conditionalFormatting sqref="U85:W85 U99:W99 U111:W111 U124:W124">
    <cfRule type="cellIs" dxfId="10" priority="270" operator="equal">
      <formula>"E trebuie să fie cel puțin egal cu C+VP"</formula>
    </cfRule>
    <cfRule type="cellIs" dxfId="9" priority="271" operator="equal">
      <formula>"Corect"</formula>
    </cfRule>
  </conditionalFormatting>
  <conditionalFormatting sqref="U93:W93">
    <cfRule type="containsText" dxfId="8" priority="24" operator="containsText" text="Corect">
      <formula>NOT(ISERROR(SEARCH("Corect",U93)))</formula>
    </cfRule>
  </conditionalFormatting>
  <conditionalFormatting sqref="U105:W105">
    <cfRule type="containsText" dxfId="7" priority="68" operator="containsText" text="Corect">
      <formula>NOT(ISERROR(SEARCH("Corect",U105)))</formula>
    </cfRule>
  </conditionalFormatting>
  <conditionalFormatting sqref="U119:W119">
    <cfRule type="containsText" dxfId="6" priority="66" operator="containsText" text="Corect">
      <formula>NOT(ISERROR(SEARCH("Corect",U119)))</formula>
    </cfRule>
  </conditionalFormatting>
  <conditionalFormatting sqref="U243:X243 U32:V33">
    <cfRule type="cellIs" dxfId="5" priority="272" operator="equal">
      <formula>"Corect"</formula>
    </cfRule>
  </conditionalFormatting>
  <conditionalFormatting sqref="U265:Y266">
    <cfRule type="cellIs" dxfId="4" priority="15" operator="equal">
      <formula>"Corect"</formula>
    </cfRule>
    <cfRule type="cellIs" dxfId="3" priority="14" operator="equal">
      <formula>"Ați pierdut unele discipline"</formula>
    </cfRule>
    <cfRule type="cellIs" dxfId="2" priority="13" operator="equal">
      <formula>"Ați dublat unele discipline"</formula>
    </cfRule>
  </conditionalFormatting>
  <conditionalFormatting sqref="V112:W112">
    <cfRule type="containsText" dxfId="1" priority="78" operator="containsText" text="Corect">
      <formula>NOT(ISERROR(SEARCH("Corect",V112)))</formula>
    </cfRule>
  </conditionalFormatting>
  <conditionalFormatting sqref="V125:W125">
    <cfRule type="containsText" dxfId="0" priority="74" operator="containsText" text="Corect">
      <formula>NOT(ISERROR(SEARCH("Corect",V125)))</formula>
    </cfRule>
  </conditionalFormatting>
  <dataValidations disablePrompts="1" count="7">
    <dataValidation type="list" allowBlank="1" showInputMessage="1" showErrorMessage="1" sqref="B199:I202 B213:I215 B179:I179" xr:uid="{00000000-0002-0000-0000-000003000000}">
      <formula1>$B$77:$B$148</formula1>
    </dataValidation>
    <dataValidation type="list" allowBlank="1" showInputMessage="1" showErrorMessage="1" sqref="T155:T156 T134 T137 T142:T143 T140" xr:uid="{00000000-0002-0000-0000-000004000000}">
      <formula1>"DF, DS, DA, DSIN, DC"</formula1>
    </dataValidation>
    <dataValidation type="list" allowBlank="1" showInputMessage="1" showErrorMessage="1" sqref="Q155:Q156 Q134 Q137 Q142:Q143 Q140" xr:uid="{00000000-0002-0000-0000-000005000000}">
      <formula1>"E"</formula1>
    </dataValidation>
    <dataValidation type="list" allowBlank="1" showInputMessage="1" showErrorMessage="1" sqref="R155:R156 R134 R137 R142:R143 R140" xr:uid="{00000000-0002-0000-0000-000006000000}">
      <formula1>"C"</formula1>
    </dataValidation>
    <dataValidation type="list" allowBlank="1" showInputMessage="1" showErrorMessage="1" sqref="S155:S156 S134 S137 S142:S143 S140" xr:uid="{00000000-0002-0000-0000-000007000000}">
      <formula1>"VP"</formula1>
    </dataValidation>
    <dataValidation type="list" allowBlank="1" showInputMessage="1" showErrorMessage="1" sqref="Q105:S110 Q136:S136 Q133:S133 Q119:S123 Q139:S139 Q93:S98 Q80:S84 Q287:S288 Q290:S291 Q284:S285 Q293:S293" xr:uid="{C0795270-45F8-4B45-B7F7-0B46AA62EEFF}">
      <formula1>#REF!</formula1>
    </dataValidation>
    <dataValidation type="list" allowBlank="1" showInputMessage="1" showErrorMessage="1" sqref="T80:T84 T105:T110 T136 T133 T119:T123 T139 T93:T98" xr:uid="{F56EA2D7-6446-48F7-8D26-ECF7515861D9}">
      <formula1>$O$32:$S$32</formula1>
    </dataValidation>
  </dataValidations>
  <hyperlinks>
    <hyperlink ref="U43" r:id="rId1" xr:uid="{7EB986AE-53D7-4A41-A5F4-3BE2967AA4D0}"/>
    <hyperlink ref="U59" r:id="rId2" xr:uid="{DA48FAD2-D4DD-4C8A-89F9-DE5A02B3192C}"/>
  </hyperlinks>
  <pageMargins left="0.70866141732283472" right="0.70866141732283472" top="0.74803149606299213" bottom="0.74803149606299213" header="0.31496062992125984" footer="0.39370078740157483"/>
  <pageSetup paperSize="9" orientation="landscape" blackAndWhite="1" r:id="rId3"/>
  <headerFooter differentFirst="1">
    <oddHeader>&amp;RPag. &amp;P</oddHeader>
    <firstFooter>&amp;LRECTOR,
Prof. univ. dr. Adrian-Olimpiu PETRUSEL&amp;CDECAN,
Prof. univ. dr. Călin Emilian HINȚEA&amp;RDIRECTOR DE DEPARTAMENT,
Prof. univ. dr. Ioan HOSU</firstFooter>
  </headerFooter>
  <rowBreaks count="10" manualBreakCount="10">
    <brk id="33" max="25" man="1"/>
    <brk id="72" max="16383" man="1"/>
    <brk id="99" max="16383" man="1"/>
    <brk id="126" max="16383" man="1"/>
    <brk id="148" max="16383" man="1"/>
    <brk id="170" max="16383" man="1"/>
    <brk id="192" max="16383" man="1"/>
    <brk id="221" max="16383" man="1"/>
    <brk id="238" max="16383" man="1"/>
    <brk id="275" max="16383" man="1"/>
  </rowBreaks>
  <ignoredErrors>
    <ignoredError sqref="M243"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9"/>
  <sheetViews>
    <sheetView view="pageLayout" zoomScaleNormal="150" workbookViewId="0">
      <selection activeCell="G46" sqref="G46"/>
    </sheetView>
  </sheetViews>
  <sheetFormatPr defaultColWidth="8.85546875" defaultRowHeight="15" x14ac:dyDescent="0.25"/>
  <cols>
    <col min="1" max="1" width="9.140625" customWidth="1"/>
    <col min="6" max="7" width="10.28515625" customWidth="1"/>
    <col min="8" max="8" width="10.7109375" customWidth="1"/>
    <col min="9" max="9" width="8.42578125" customWidth="1"/>
    <col min="10" max="10" width="8.140625" customWidth="1"/>
    <col min="11" max="11" width="9.42578125" customWidth="1"/>
    <col min="12" max="12" width="9.140625" customWidth="1"/>
    <col min="14" max="14" width="9.140625" customWidth="1"/>
  </cols>
  <sheetData>
    <row r="1" spans="1:14" ht="14.1" customHeight="1" x14ac:dyDescent="0.25">
      <c r="A1" s="323" t="s">
        <v>86</v>
      </c>
      <c r="B1" s="323"/>
      <c r="C1" s="323"/>
      <c r="D1" s="323"/>
      <c r="E1" s="323"/>
      <c r="F1" s="323"/>
      <c r="G1" s="323"/>
      <c r="H1" s="323"/>
      <c r="I1" s="323"/>
      <c r="J1" s="323"/>
      <c r="K1" s="323"/>
      <c r="L1" s="323"/>
      <c r="M1" s="323"/>
      <c r="N1" s="323"/>
    </row>
    <row r="2" spans="1:14" ht="14.1" customHeight="1" x14ac:dyDescent="0.25">
      <c r="A2" s="41"/>
      <c r="B2" s="41"/>
      <c r="C2" s="41"/>
      <c r="D2" s="41"/>
      <c r="E2" s="41"/>
      <c r="F2" s="41"/>
      <c r="G2" s="41"/>
      <c r="H2" s="41"/>
      <c r="I2" s="41"/>
      <c r="J2" s="41"/>
      <c r="K2" s="41"/>
      <c r="L2" s="41"/>
      <c r="M2" s="41"/>
      <c r="N2" s="41"/>
    </row>
    <row r="3" spans="1:14" ht="14.1" customHeight="1" x14ac:dyDescent="0.25">
      <c r="A3" s="41"/>
      <c r="B3" s="41"/>
      <c r="C3" s="41"/>
      <c r="D3" s="41"/>
      <c r="E3" s="41"/>
      <c r="F3" s="41"/>
      <c r="G3" s="41"/>
      <c r="H3" s="41"/>
      <c r="I3" s="41"/>
      <c r="J3" s="41"/>
      <c r="K3" s="41"/>
      <c r="L3" s="41"/>
      <c r="M3" s="41"/>
      <c r="N3" s="41"/>
    </row>
    <row r="4" spans="1:14" ht="14.1" customHeight="1" x14ac:dyDescent="0.25">
      <c r="A4" s="331" t="s">
        <v>243</v>
      </c>
      <c r="B4" s="331"/>
      <c r="C4" s="331"/>
      <c r="D4" s="331"/>
      <c r="E4" s="331"/>
      <c r="F4" s="331"/>
      <c r="G4" s="331"/>
      <c r="H4" s="331"/>
      <c r="I4" s="331"/>
      <c r="J4" s="331"/>
      <c r="K4" s="331"/>
      <c r="L4" s="331"/>
      <c r="M4" s="331"/>
      <c r="N4" s="331"/>
    </row>
    <row r="5" spans="1:14" ht="14.1" customHeight="1" x14ac:dyDescent="0.25">
      <c r="A5" s="41"/>
      <c r="B5" s="41"/>
      <c r="C5" s="41"/>
      <c r="D5" s="41"/>
      <c r="E5" s="41"/>
      <c r="F5" s="41"/>
      <c r="G5" s="41"/>
      <c r="H5" s="41"/>
      <c r="I5" s="41"/>
      <c r="J5" s="41"/>
      <c r="K5" s="41"/>
      <c r="L5" s="41"/>
      <c r="M5" s="41"/>
      <c r="N5" s="41"/>
    </row>
    <row r="6" spans="1:14" ht="15" customHeight="1" x14ac:dyDescent="0.25">
      <c r="A6" s="324" t="s">
        <v>72</v>
      </c>
      <c r="B6" s="324"/>
      <c r="C6" s="324"/>
      <c r="D6" s="324"/>
      <c r="E6" s="324"/>
      <c r="F6" s="324"/>
      <c r="G6" s="324"/>
      <c r="H6" s="324"/>
      <c r="I6" s="324"/>
      <c r="J6" s="324"/>
      <c r="K6" s="324"/>
      <c r="L6" s="324"/>
      <c r="M6" s="325"/>
      <c r="N6" s="325"/>
    </row>
    <row r="7" spans="1:14" ht="15" customHeight="1" x14ac:dyDescent="0.25">
      <c r="A7" s="326" t="s">
        <v>73</v>
      </c>
      <c r="B7" s="327"/>
      <c r="C7" s="327"/>
      <c r="D7" s="327"/>
      <c r="E7" s="327"/>
      <c r="F7" s="327"/>
      <c r="G7" s="327"/>
      <c r="H7" s="327"/>
      <c r="I7" s="327"/>
      <c r="J7" s="327"/>
      <c r="K7" s="327"/>
      <c r="L7" s="327"/>
      <c r="M7" s="330" t="s">
        <v>71</v>
      </c>
      <c r="N7" s="330"/>
    </row>
    <row r="8" spans="1:14" ht="15" customHeight="1" x14ac:dyDescent="0.25">
      <c r="A8" s="328"/>
      <c r="B8" s="329"/>
      <c r="C8" s="329"/>
      <c r="D8" s="329"/>
      <c r="E8" s="329"/>
      <c r="F8" s="329"/>
      <c r="G8" s="329"/>
      <c r="H8" s="329"/>
      <c r="I8" s="329"/>
      <c r="J8" s="329"/>
      <c r="K8" s="329"/>
      <c r="L8" s="329"/>
      <c r="M8" s="330"/>
      <c r="N8" s="330"/>
    </row>
    <row r="9" spans="1:14" ht="15" customHeight="1" x14ac:dyDescent="0.25">
      <c r="A9" s="332" t="s">
        <v>201</v>
      </c>
      <c r="B9" s="333"/>
      <c r="C9" s="333"/>
      <c r="D9" s="333"/>
      <c r="E9" s="333"/>
      <c r="F9" s="333"/>
      <c r="G9" s="333"/>
      <c r="H9" s="333"/>
      <c r="I9" s="333"/>
      <c r="J9" s="333"/>
      <c r="K9" s="333"/>
      <c r="L9" s="334"/>
      <c r="M9" s="340"/>
      <c r="N9" s="340"/>
    </row>
    <row r="10" spans="1:14" ht="15" customHeight="1" x14ac:dyDescent="0.25">
      <c r="A10" s="335"/>
      <c r="B10" s="331"/>
      <c r="C10" s="331"/>
      <c r="D10" s="331"/>
      <c r="E10" s="331"/>
      <c r="F10" s="331"/>
      <c r="G10" s="331"/>
      <c r="H10" s="331"/>
      <c r="I10" s="331"/>
      <c r="J10" s="331"/>
      <c r="K10" s="331"/>
      <c r="L10" s="336"/>
      <c r="M10" s="340"/>
      <c r="N10" s="340"/>
    </row>
    <row r="11" spans="1:14" ht="15" customHeight="1" x14ac:dyDescent="0.25">
      <c r="A11" s="332" t="s">
        <v>204</v>
      </c>
      <c r="B11" s="333"/>
      <c r="C11" s="333"/>
      <c r="D11" s="333"/>
      <c r="E11" s="333"/>
      <c r="F11" s="333"/>
      <c r="G11" s="333"/>
      <c r="H11" s="333"/>
      <c r="I11" s="333"/>
      <c r="J11" s="333"/>
      <c r="K11" s="333"/>
      <c r="L11" s="334"/>
      <c r="M11" s="340"/>
      <c r="N11" s="340"/>
    </row>
    <row r="12" spans="1:14" ht="15" customHeight="1" x14ac:dyDescent="0.25">
      <c r="A12" s="335"/>
      <c r="B12" s="331"/>
      <c r="C12" s="331"/>
      <c r="D12" s="331"/>
      <c r="E12" s="331"/>
      <c r="F12" s="331"/>
      <c r="G12" s="331"/>
      <c r="H12" s="331"/>
      <c r="I12" s="331"/>
      <c r="J12" s="331"/>
      <c r="K12" s="331"/>
      <c r="L12" s="336"/>
      <c r="M12" s="340"/>
      <c r="N12" s="340"/>
    </row>
    <row r="13" spans="1:14" ht="15" customHeight="1" x14ac:dyDescent="0.25">
      <c r="A13" s="337"/>
      <c r="B13" s="338"/>
      <c r="C13" s="338"/>
      <c r="D13" s="338"/>
      <c r="E13" s="338"/>
      <c r="F13" s="338"/>
      <c r="G13" s="338"/>
      <c r="H13" s="338"/>
      <c r="I13" s="338"/>
      <c r="J13" s="338"/>
      <c r="K13" s="338"/>
      <c r="L13" s="339"/>
      <c r="M13" s="340"/>
      <c r="N13" s="340"/>
    </row>
    <row r="14" spans="1:14" ht="15" customHeight="1" x14ac:dyDescent="0.25"/>
    <row r="15" spans="1:14" ht="15" customHeight="1" x14ac:dyDescent="0.25">
      <c r="A15" s="324" t="s">
        <v>74</v>
      </c>
      <c r="B15" s="324"/>
      <c r="C15" s="324"/>
      <c r="D15" s="324"/>
      <c r="E15" s="324"/>
      <c r="F15" s="324"/>
      <c r="G15" s="324"/>
      <c r="H15" s="324"/>
      <c r="I15" s="324"/>
      <c r="J15" s="324"/>
      <c r="K15" s="324"/>
      <c r="L15" s="324"/>
      <c r="M15" s="341"/>
      <c r="N15" s="342"/>
    </row>
    <row r="16" spans="1:14" ht="15" customHeight="1" x14ac:dyDescent="0.25">
      <c r="A16" s="326" t="s">
        <v>75</v>
      </c>
      <c r="B16" s="327"/>
      <c r="C16" s="327"/>
      <c r="D16" s="327"/>
      <c r="E16" s="327"/>
      <c r="F16" s="327"/>
      <c r="G16" s="327"/>
      <c r="H16" s="327"/>
      <c r="I16" s="327"/>
      <c r="J16" s="327"/>
      <c r="K16" s="327"/>
      <c r="L16" s="327"/>
      <c r="M16" s="330" t="s">
        <v>71</v>
      </c>
      <c r="N16" s="330"/>
    </row>
    <row r="17" spans="1:14" ht="15" customHeight="1" x14ac:dyDescent="0.25">
      <c r="A17" s="328"/>
      <c r="B17" s="329"/>
      <c r="C17" s="329"/>
      <c r="D17" s="329"/>
      <c r="E17" s="329"/>
      <c r="F17" s="329"/>
      <c r="G17" s="329"/>
      <c r="H17" s="329"/>
      <c r="I17" s="329"/>
      <c r="J17" s="329"/>
      <c r="K17" s="329"/>
      <c r="L17" s="329"/>
      <c r="M17" s="330"/>
      <c r="N17" s="330"/>
    </row>
    <row r="18" spans="1:14" ht="15" customHeight="1" x14ac:dyDescent="0.25">
      <c r="A18" s="332" t="s">
        <v>202</v>
      </c>
      <c r="B18" s="333"/>
      <c r="C18" s="333"/>
      <c r="D18" s="333"/>
      <c r="E18" s="333"/>
      <c r="F18" s="333"/>
      <c r="G18" s="333"/>
      <c r="H18" s="333"/>
      <c r="I18" s="333"/>
      <c r="J18" s="333"/>
      <c r="K18" s="333"/>
      <c r="L18" s="334"/>
      <c r="M18" s="343"/>
      <c r="N18" s="344"/>
    </row>
    <row r="19" spans="1:14" ht="15" customHeight="1" x14ac:dyDescent="0.25">
      <c r="A19" s="335"/>
      <c r="B19" s="331"/>
      <c r="C19" s="331"/>
      <c r="D19" s="331"/>
      <c r="E19" s="331"/>
      <c r="F19" s="331"/>
      <c r="G19" s="331"/>
      <c r="H19" s="331"/>
      <c r="I19" s="331"/>
      <c r="J19" s="331"/>
      <c r="K19" s="331"/>
      <c r="L19" s="336"/>
      <c r="M19" s="345"/>
      <c r="N19" s="346"/>
    </row>
    <row r="20" spans="1:14" ht="15" customHeight="1" x14ac:dyDescent="0.25">
      <c r="A20" s="335"/>
      <c r="B20" s="331"/>
      <c r="C20" s="331"/>
      <c r="D20" s="331"/>
      <c r="E20" s="331"/>
      <c r="F20" s="331"/>
      <c r="G20" s="331"/>
      <c r="H20" s="331"/>
      <c r="I20" s="331"/>
      <c r="J20" s="331"/>
      <c r="K20" s="331"/>
      <c r="L20" s="336"/>
      <c r="M20" s="347"/>
      <c r="N20" s="348"/>
    </row>
    <row r="21" spans="1:14" ht="15" customHeight="1" x14ac:dyDescent="0.25">
      <c r="A21" s="332" t="s">
        <v>203</v>
      </c>
      <c r="B21" s="333"/>
      <c r="C21" s="333"/>
      <c r="D21" s="333"/>
      <c r="E21" s="333"/>
      <c r="F21" s="333"/>
      <c r="G21" s="333"/>
      <c r="H21" s="333"/>
      <c r="I21" s="333"/>
      <c r="J21" s="333"/>
      <c r="K21" s="333"/>
      <c r="L21" s="334"/>
      <c r="M21" s="343"/>
      <c r="N21" s="344"/>
    </row>
    <row r="22" spans="1:14" ht="15" customHeight="1" x14ac:dyDescent="0.25">
      <c r="A22" s="335"/>
      <c r="B22" s="331"/>
      <c r="C22" s="331"/>
      <c r="D22" s="331"/>
      <c r="E22" s="331"/>
      <c r="F22" s="331"/>
      <c r="G22" s="331"/>
      <c r="H22" s="331"/>
      <c r="I22" s="331"/>
      <c r="J22" s="331"/>
      <c r="K22" s="331"/>
      <c r="L22" s="336"/>
      <c r="M22" s="347"/>
      <c r="N22" s="348"/>
    </row>
    <row r="23" spans="1:14" ht="15" customHeight="1" x14ac:dyDescent="0.25">
      <c r="A23" s="332" t="s">
        <v>205</v>
      </c>
      <c r="B23" s="333"/>
      <c r="C23" s="333"/>
      <c r="D23" s="333"/>
      <c r="E23" s="333"/>
      <c r="F23" s="333"/>
      <c r="G23" s="333"/>
      <c r="H23" s="333"/>
      <c r="I23" s="333"/>
      <c r="J23" s="333"/>
      <c r="K23" s="333"/>
      <c r="L23" s="334"/>
      <c r="M23" s="340"/>
      <c r="N23" s="340"/>
    </row>
    <row r="24" spans="1:14" ht="15" customHeight="1" x14ac:dyDescent="0.25">
      <c r="A24" s="337"/>
      <c r="B24" s="338"/>
      <c r="C24" s="338"/>
      <c r="D24" s="338"/>
      <c r="E24" s="338"/>
      <c r="F24" s="338"/>
      <c r="G24" s="338"/>
      <c r="H24" s="338"/>
      <c r="I24" s="338"/>
      <c r="J24" s="338"/>
      <c r="K24" s="338"/>
      <c r="L24" s="339"/>
      <c r="M24" s="340"/>
      <c r="N24" s="340"/>
    </row>
    <row r="25" spans="1:14" ht="14.1" customHeight="1" x14ac:dyDescent="0.25">
      <c r="A25" s="34"/>
      <c r="B25" s="34"/>
      <c r="C25" s="34"/>
      <c r="D25" s="34"/>
      <c r="E25" s="34"/>
      <c r="F25" s="34"/>
      <c r="G25" s="34"/>
      <c r="H25" s="34"/>
      <c r="I25" s="34"/>
      <c r="J25" s="34"/>
      <c r="K25" s="34"/>
      <c r="L25" s="34"/>
      <c r="M25" s="35"/>
      <c r="N25" s="35"/>
    </row>
    <row r="26" spans="1:14" ht="14.1" customHeight="1" x14ac:dyDescent="0.25">
      <c r="A26" s="352" t="s">
        <v>76</v>
      </c>
      <c r="B26" s="353"/>
      <c r="C26" s="353"/>
      <c r="D26" s="353"/>
      <c r="E26" s="353"/>
      <c r="F26" s="353"/>
      <c r="G26" s="353"/>
      <c r="H26" s="353"/>
      <c r="I26" s="353"/>
      <c r="J26" s="353"/>
      <c r="K26" s="353"/>
      <c r="L26" s="353"/>
      <c r="M26" s="353"/>
      <c r="N26" s="354"/>
    </row>
    <row r="27" spans="1:14" ht="14.1" customHeight="1" x14ac:dyDescent="0.25">
      <c r="A27" s="349" t="s">
        <v>206</v>
      </c>
      <c r="B27" s="350"/>
      <c r="C27" s="350"/>
      <c r="D27" s="350"/>
      <c r="E27" s="350"/>
      <c r="F27" s="350"/>
      <c r="G27" s="350"/>
      <c r="H27" s="350"/>
      <c r="I27" s="350"/>
      <c r="J27" s="350"/>
      <c r="K27" s="350"/>
      <c r="L27" s="350"/>
      <c r="M27" s="350"/>
      <c r="N27" s="351"/>
    </row>
    <row r="28" spans="1:14" ht="14.1" customHeight="1" x14ac:dyDescent="0.25">
      <c r="A28" s="349" t="s">
        <v>207</v>
      </c>
      <c r="B28" s="350"/>
      <c r="C28" s="350"/>
      <c r="D28" s="350"/>
      <c r="E28" s="350"/>
      <c r="F28" s="350"/>
      <c r="G28" s="350"/>
      <c r="H28" s="350"/>
      <c r="I28" s="350"/>
      <c r="J28" s="350"/>
      <c r="K28" s="350"/>
      <c r="L28" s="350"/>
      <c r="M28" s="350"/>
      <c r="N28" s="351"/>
    </row>
    <row r="29" spans="1:14" ht="14.1" customHeight="1" x14ac:dyDescent="0.25">
      <c r="A29" s="349" t="s">
        <v>208</v>
      </c>
      <c r="B29" s="350"/>
      <c r="C29" s="350"/>
      <c r="D29" s="350"/>
      <c r="E29" s="350"/>
      <c r="F29" s="350"/>
      <c r="G29" s="350"/>
      <c r="H29" s="350"/>
      <c r="I29" s="350"/>
      <c r="J29" s="350"/>
      <c r="K29" s="350"/>
      <c r="L29" s="350"/>
      <c r="M29" s="350"/>
      <c r="N29" s="351"/>
    </row>
    <row r="30" spans="1:14" ht="14.1" customHeight="1" x14ac:dyDescent="0.25">
      <c r="A30" s="349" t="s">
        <v>209</v>
      </c>
      <c r="B30" s="350"/>
      <c r="C30" s="350"/>
      <c r="D30" s="350"/>
      <c r="E30" s="350"/>
      <c r="F30" s="350"/>
      <c r="G30" s="350"/>
      <c r="H30" s="350"/>
      <c r="I30" s="350"/>
      <c r="J30" s="350"/>
      <c r="K30" s="350"/>
      <c r="L30" s="350"/>
      <c r="M30" s="350"/>
      <c r="N30" s="351"/>
    </row>
    <row r="31" spans="1:14" ht="14.1" customHeight="1" x14ac:dyDescent="0.25">
      <c r="A31" s="349" t="s">
        <v>210</v>
      </c>
      <c r="B31" s="350"/>
      <c r="C31" s="350"/>
      <c r="D31" s="350"/>
      <c r="E31" s="350"/>
      <c r="F31" s="350"/>
      <c r="G31" s="350"/>
      <c r="H31" s="350"/>
      <c r="I31" s="350"/>
      <c r="J31" s="350"/>
      <c r="K31" s="350"/>
      <c r="L31" s="350"/>
      <c r="M31" s="350"/>
      <c r="N31" s="351"/>
    </row>
    <row r="32" spans="1:14" ht="14.1" customHeight="1" x14ac:dyDescent="0.25">
      <c r="A32" s="349" t="s">
        <v>211</v>
      </c>
      <c r="B32" s="350"/>
      <c r="C32" s="350"/>
      <c r="D32" s="350"/>
      <c r="E32" s="350"/>
      <c r="F32" s="350"/>
      <c r="G32" s="350"/>
      <c r="H32" s="350"/>
      <c r="I32" s="350"/>
      <c r="J32" s="350"/>
      <c r="K32" s="350"/>
      <c r="L32" s="350"/>
      <c r="M32" s="350"/>
      <c r="N32" s="351"/>
    </row>
    <row r="33" spans="1:14" ht="14.1" customHeight="1" x14ac:dyDescent="0.25">
      <c r="A33" s="349" t="s">
        <v>212</v>
      </c>
      <c r="B33" s="350"/>
      <c r="C33" s="350"/>
      <c r="D33" s="350"/>
      <c r="E33" s="350"/>
      <c r="F33" s="350"/>
      <c r="G33" s="350"/>
      <c r="H33" s="350"/>
      <c r="I33" s="350"/>
      <c r="J33" s="350"/>
      <c r="K33" s="350"/>
      <c r="L33" s="350"/>
      <c r="M33" s="350"/>
      <c r="N33" s="351"/>
    </row>
    <row r="34" spans="1:14" ht="14.1" customHeight="1" x14ac:dyDescent="0.25">
      <c r="A34" s="349" t="s">
        <v>213</v>
      </c>
      <c r="B34" s="350"/>
      <c r="C34" s="350"/>
      <c r="D34" s="350"/>
      <c r="E34" s="350"/>
      <c r="F34" s="350"/>
      <c r="G34" s="350"/>
      <c r="H34" s="350"/>
      <c r="I34" s="350"/>
      <c r="J34" s="350"/>
      <c r="K34" s="350"/>
      <c r="L34" s="350"/>
      <c r="M34" s="350"/>
      <c r="N34" s="351"/>
    </row>
    <row r="35" spans="1:14" ht="14.1" customHeight="1" x14ac:dyDescent="0.25">
      <c r="A35" s="349" t="s">
        <v>214</v>
      </c>
      <c r="B35" s="350"/>
      <c r="C35" s="350"/>
      <c r="D35" s="350"/>
      <c r="E35" s="350"/>
      <c r="F35" s="350"/>
      <c r="G35" s="350"/>
      <c r="H35" s="350"/>
      <c r="I35" s="350"/>
      <c r="J35" s="350"/>
      <c r="K35" s="350"/>
      <c r="L35" s="350"/>
      <c r="M35" s="350"/>
      <c r="N35" s="351"/>
    </row>
    <row r="36" spans="1:14" ht="14.1" customHeight="1" x14ac:dyDescent="0.25">
      <c r="A36" s="349" t="s">
        <v>215</v>
      </c>
      <c r="B36" s="350"/>
      <c r="C36" s="350"/>
      <c r="D36" s="350"/>
      <c r="E36" s="350"/>
      <c r="F36" s="350"/>
      <c r="G36" s="350"/>
      <c r="H36" s="350"/>
      <c r="I36" s="350"/>
      <c r="J36" s="350"/>
      <c r="K36" s="350"/>
      <c r="L36" s="350"/>
      <c r="M36" s="350"/>
      <c r="N36" s="351"/>
    </row>
    <row r="37" spans="1:14" ht="14.1" customHeight="1" x14ac:dyDescent="0.25">
      <c r="A37" s="349" t="s">
        <v>216</v>
      </c>
      <c r="B37" s="350"/>
      <c r="C37" s="350"/>
      <c r="D37" s="350"/>
      <c r="E37" s="350"/>
      <c r="F37" s="350"/>
      <c r="G37" s="350"/>
      <c r="H37" s="350"/>
      <c r="I37" s="350"/>
      <c r="J37" s="350"/>
      <c r="K37" s="350"/>
      <c r="L37" s="350"/>
      <c r="M37" s="350"/>
      <c r="N37" s="351"/>
    </row>
    <row r="38" spans="1:14" ht="14.1" customHeight="1" x14ac:dyDescent="0.25">
      <c r="A38" s="349" t="s">
        <v>217</v>
      </c>
      <c r="B38" s="350"/>
      <c r="C38" s="350"/>
      <c r="D38" s="350"/>
      <c r="E38" s="350"/>
      <c r="F38" s="350"/>
      <c r="G38" s="350"/>
      <c r="H38" s="350"/>
      <c r="I38" s="350"/>
      <c r="J38" s="350"/>
      <c r="K38" s="350"/>
      <c r="L38" s="350"/>
      <c r="M38" s="350"/>
      <c r="N38" s="351"/>
    </row>
    <row r="39" spans="1:14" ht="14.1" customHeight="1" x14ac:dyDescent="0.25"/>
  </sheetData>
  <mergeCells count="33">
    <mergeCell ref="A37:N37"/>
    <mergeCell ref="A38:N38"/>
    <mergeCell ref="A32:N32"/>
    <mergeCell ref="A33:N33"/>
    <mergeCell ref="A35:N35"/>
    <mergeCell ref="A36:N36"/>
    <mergeCell ref="A34:N34"/>
    <mergeCell ref="A31:N31"/>
    <mergeCell ref="A23:L24"/>
    <mergeCell ref="M23:N24"/>
    <mergeCell ref="A26:N26"/>
    <mergeCell ref="A27:N27"/>
    <mergeCell ref="A28:N28"/>
    <mergeCell ref="A29:N29"/>
    <mergeCell ref="A30:N30"/>
    <mergeCell ref="A16:L17"/>
    <mergeCell ref="M16:N17"/>
    <mergeCell ref="A18:L20"/>
    <mergeCell ref="M18:N20"/>
    <mergeCell ref="A21:L22"/>
    <mergeCell ref="M21:N22"/>
    <mergeCell ref="A11:L13"/>
    <mergeCell ref="M11:N13"/>
    <mergeCell ref="A15:L15"/>
    <mergeCell ref="M15:N15"/>
    <mergeCell ref="A9:L10"/>
    <mergeCell ref="M9:N10"/>
    <mergeCell ref="A1:N1"/>
    <mergeCell ref="A6:L6"/>
    <mergeCell ref="M6:N6"/>
    <mergeCell ref="A7:L8"/>
    <mergeCell ref="M7:N8"/>
    <mergeCell ref="A4:N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oddFooter>&amp;LDECAN,
Prof. univ. dr. Călin Emilian HINȚEA&amp;RDIRECTOR DE DEPARTAMENT,
Prof. univ. dr. Ioan HOSU</oddFooter>
    <firstFooter>&amp;LDECAN,
Prof. univ. dr. Călin Emilian HINȚEA&amp;RDIRECTOR DE DEPARTAMENT,
Prof. univ. dr. Ioan HOSU</first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5</xdr:row>
                    <xdr:rowOff>9525</xdr:rowOff>
                  </from>
                  <to>
                    <xdr:col>12</xdr:col>
                    <xdr:colOff>523875</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76200</xdr:colOff>
                    <xdr:row>5</xdr:row>
                    <xdr:rowOff>9525</xdr:rowOff>
                  </from>
                  <to>
                    <xdr:col>13</xdr:col>
                    <xdr:colOff>542925</xdr:colOff>
                    <xdr:row>5</xdr:row>
                    <xdr:rowOff>180975</xdr:rowOff>
                  </to>
                </anchor>
              </controlPr>
            </control>
          </mc:Choice>
        </mc:AlternateContent>
        <mc:AlternateContent xmlns:mc="http://schemas.openxmlformats.org/markup-compatibility/2006">
          <mc:Choice Requires="x14">
            <control shapeId="2058" r:id="rId7" name="Group Box 10">
              <controlPr defaultSize="0" autoFill="0" autoPict="0">
                <anchor moveWithCells="1">
                  <from>
                    <xdr:col>11</xdr:col>
                    <xdr:colOff>609600</xdr:colOff>
                    <xdr:row>14</xdr:row>
                    <xdr:rowOff>0</xdr:rowOff>
                  </from>
                  <to>
                    <xdr:col>13</xdr:col>
                    <xdr:colOff>600075</xdr:colOff>
                    <xdr:row>15</xdr:row>
                    <xdr:rowOff>0</xdr:rowOff>
                  </to>
                </anchor>
              </controlPr>
            </control>
          </mc:Choice>
        </mc:AlternateContent>
        <mc:AlternateContent xmlns:mc="http://schemas.openxmlformats.org/markup-compatibility/2006">
          <mc:Choice Requires="x14">
            <control shapeId="2059" r:id="rId8" name="Option Button 11">
              <controlPr defaultSize="0" autoFill="0" autoLine="0" autoPict="0">
                <anchor moveWithCells="1">
                  <from>
                    <xdr:col>12</xdr:col>
                    <xdr:colOff>76200</xdr:colOff>
                    <xdr:row>14</xdr:row>
                    <xdr:rowOff>9525</xdr:rowOff>
                  </from>
                  <to>
                    <xdr:col>12</xdr:col>
                    <xdr:colOff>523875</xdr:colOff>
                    <xdr:row>14</xdr:row>
                    <xdr:rowOff>180975</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13</xdr:col>
                    <xdr:colOff>76200</xdr:colOff>
                    <xdr:row>14</xdr:row>
                    <xdr:rowOff>9525</xdr:rowOff>
                  </from>
                  <to>
                    <xdr:col>13</xdr:col>
                    <xdr:colOff>542925</xdr:colOff>
                    <xdr:row>14</xdr:row>
                    <xdr:rowOff>180975</xdr:rowOff>
                  </to>
                </anchor>
              </controlPr>
            </control>
          </mc:Choice>
        </mc:AlternateContent>
        <mc:AlternateContent xmlns:mc="http://schemas.openxmlformats.org/markup-compatibility/2006">
          <mc:Choice Requires="x14">
            <control shapeId="2061" r:id="rId10" name="Group Box 13">
              <controlPr defaultSize="0" autoFill="0" autoPict="0">
                <anchor moveWithCells="1">
                  <from>
                    <xdr:col>11</xdr:col>
                    <xdr:colOff>609600</xdr:colOff>
                    <xdr:row>17</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1" name="Option Button 14">
              <controlPr defaultSize="0" autoFill="0" autoLine="0" autoPict="0">
                <anchor moveWithCells="1">
                  <from>
                    <xdr:col>12</xdr:col>
                    <xdr:colOff>76200</xdr:colOff>
                    <xdr:row>17</xdr:row>
                    <xdr:rowOff>114300</xdr:rowOff>
                  </from>
                  <to>
                    <xdr:col>12</xdr:col>
                    <xdr:colOff>523875</xdr:colOff>
                    <xdr:row>19</xdr:row>
                    <xdr:rowOff>85725</xdr:rowOff>
                  </to>
                </anchor>
              </controlPr>
            </control>
          </mc:Choice>
        </mc:AlternateContent>
        <mc:AlternateContent xmlns:mc="http://schemas.openxmlformats.org/markup-compatibility/2006">
          <mc:Choice Requires="x14">
            <control shapeId="2063" r:id="rId12" name="Option Button 15">
              <controlPr defaultSize="0" autoFill="0" autoLine="0" autoPict="0">
                <anchor moveWithCells="1">
                  <from>
                    <xdr:col>13</xdr:col>
                    <xdr:colOff>76200</xdr:colOff>
                    <xdr:row>17</xdr:row>
                    <xdr:rowOff>123825</xdr:rowOff>
                  </from>
                  <to>
                    <xdr:col>13</xdr:col>
                    <xdr:colOff>542925</xdr:colOff>
                    <xdr:row>19</xdr:row>
                    <xdr:rowOff>85725</xdr:rowOff>
                  </to>
                </anchor>
              </controlPr>
            </control>
          </mc:Choice>
        </mc:AlternateContent>
        <mc:AlternateContent xmlns:mc="http://schemas.openxmlformats.org/markup-compatibility/2006">
          <mc:Choice Requires="x14">
            <control shapeId="2064" r:id="rId13" name="Group Box 16">
              <controlPr defaultSize="0" autoFill="0" autoPict="0">
                <anchor moveWithCells="1">
                  <from>
                    <xdr:col>11</xdr:col>
                    <xdr:colOff>609600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12</xdr:col>
                    <xdr:colOff>76200</xdr:colOff>
                    <xdr:row>20</xdr:row>
                    <xdr:rowOff>104775</xdr:rowOff>
                  </from>
                  <to>
                    <xdr:col>12</xdr:col>
                    <xdr:colOff>523875</xdr:colOff>
                    <xdr:row>21</xdr:row>
                    <xdr:rowOff>95250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13</xdr:col>
                    <xdr:colOff>76200</xdr:colOff>
                    <xdr:row>20</xdr:row>
                    <xdr:rowOff>114300</xdr:rowOff>
                  </from>
                  <to>
                    <xdr:col>13</xdr:col>
                    <xdr:colOff>542925</xdr:colOff>
                    <xdr:row>21</xdr:row>
                    <xdr:rowOff>95250</xdr:rowOff>
                  </to>
                </anchor>
              </controlPr>
            </control>
          </mc:Choice>
        </mc:AlternateContent>
        <mc:AlternateContent xmlns:mc="http://schemas.openxmlformats.org/markup-compatibility/2006">
          <mc:Choice Requires="x14">
            <control shapeId="2067" r:id="rId16" name="Group Box 19">
              <controlPr defaultSize="0" autoFill="0" autoPict="0">
                <anchor moveWithCells="1">
                  <from>
                    <xdr:col>11</xdr:col>
                    <xdr:colOff>609600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12</xdr:col>
                    <xdr:colOff>76200</xdr:colOff>
                    <xdr:row>22</xdr:row>
                    <xdr:rowOff>104775</xdr:rowOff>
                  </from>
                  <to>
                    <xdr:col>12</xdr:col>
                    <xdr:colOff>523875</xdr:colOff>
                    <xdr:row>23</xdr:row>
                    <xdr:rowOff>95250</xdr:rowOff>
                  </to>
                </anchor>
              </controlPr>
            </control>
          </mc:Choice>
        </mc:AlternateContent>
        <mc:AlternateContent xmlns:mc="http://schemas.openxmlformats.org/markup-compatibility/2006">
          <mc:Choice Requires="x14">
            <control shapeId="2069" r:id="rId18" name="Option Button 21">
              <controlPr defaultSize="0" autoFill="0" autoLine="0" autoPict="0">
                <anchor moveWithCells="1">
                  <from>
                    <xdr:col>13</xdr:col>
                    <xdr:colOff>76200</xdr:colOff>
                    <xdr:row>22</xdr:row>
                    <xdr:rowOff>114300</xdr:rowOff>
                  </from>
                  <to>
                    <xdr:col>13</xdr:col>
                    <xdr:colOff>542925</xdr:colOff>
                    <xdr:row>23</xdr:row>
                    <xdr:rowOff>95250</xdr:rowOff>
                  </to>
                </anchor>
              </controlPr>
            </control>
          </mc:Choice>
        </mc:AlternateContent>
        <mc:AlternateContent xmlns:mc="http://schemas.openxmlformats.org/markup-compatibility/2006">
          <mc:Choice Requires="x14">
            <control shapeId="2070" r:id="rId19" name="Group Box 22">
              <controlPr defaultSize="0" autoFill="0" autoPict="0">
                <anchor moveWithCells="1">
                  <from>
                    <xdr:col>11</xdr:col>
                    <xdr:colOff>609600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0" name="Option Button 23">
              <controlPr defaultSize="0" autoFill="0" autoLine="0" autoPict="0">
                <anchor moveWithCells="1">
                  <from>
                    <xdr:col>12</xdr:col>
                    <xdr:colOff>76200</xdr:colOff>
                    <xdr:row>8</xdr:row>
                    <xdr:rowOff>104775</xdr:rowOff>
                  </from>
                  <to>
                    <xdr:col>12</xdr:col>
                    <xdr:colOff>523875</xdr:colOff>
                    <xdr:row>9</xdr:row>
                    <xdr:rowOff>85725</xdr:rowOff>
                  </to>
                </anchor>
              </controlPr>
            </control>
          </mc:Choice>
        </mc:AlternateContent>
        <mc:AlternateContent xmlns:mc="http://schemas.openxmlformats.org/markup-compatibility/2006">
          <mc:Choice Requires="x14">
            <control shapeId="2072" r:id="rId21" name="Option Button 24">
              <controlPr defaultSize="0" autoFill="0" autoLine="0" autoPict="0">
                <anchor moveWithCells="1">
                  <from>
                    <xdr:col>13</xdr:col>
                    <xdr:colOff>76200</xdr:colOff>
                    <xdr:row>8</xdr:row>
                    <xdr:rowOff>104775</xdr:rowOff>
                  </from>
                  <to>
                    <xdr:col>13</xdr:col>
                    <xdr:colOff>542925</xdr:colOff>
                    <xdr:row>9</xdr:row>
                    <xdr:rowOff>85725</xdr:rowOff>
                  </to>
                </anchor>
              </controlPr>
            </control>
          </mc:Choice>
        </mc:AlternateContent>
        <mc:AlternateContent xmlns:mc="http://schemas.openxmlformats.org/markup-compatibility/2006">
          <mc:Choice Requires="x14">
            <control shapeId="3" r:id="rId22" name="Group Box 4">
              <controlPr defaultSize="0" autoFill="0" autoPict="0">
                <anchor moveWithCells="1" sizeWithCells="1">
                  <from>
                    <xdr:col>12</xdr:col>
                    <xdr:colOff>9525</xdr:colOff>
                    <xdr:row>10</xdr:row>
                    <xdr:rowOff>95250</xdr:rowOff>
                  </from>
                  <to>
                    <xdr:col>13</xdr:col>
                    <xdr:colOff>619125</xdr:colOff>
                    <xdr:row>12</xdr:row>
                    <xdr:rowOff>123825</xdr:rowOff>
                  </to>
                </anchor>
              </controlPr>
            </control>
          </mc:Choice>
        </mc:AlternateContent>
        <mc:AlternateContent xmlns:mc="http://schemas.openxmlformats.org/markup-compatibility/2006">
          <mc:Choice Requires="x14">
            <control shapeId="4" r:id="rId23" name="Option Button 5">
              <controlPr defaultSize="0" autoFill="0" autoLine="0" autoPict="0">
                <anchor moveWithCells="1" sizeWithCells="1">
                  <from>
                    <xdr:col>12</xdr:col>
                    <xdr:colOff>123825</xdr:colOff>
                    <xdr:row>10</xdr:row>
                    <xdr:rowOff>114300</xdr:rowOff>
                  </from>
                  <to>
                    <xdr:col>12</xdr:col>
                    <xdr:colOff>561975</xdr:colOff>
                    <xdr:row>12</xdr:row>
                    <xdr:rowOff>104775</xdr:rowOff>
                  </to>
                </anchor>
              </controlPr>
            </control>
          </mc:Choice>
        </mc:AlternateContent>
        <mc:AlternateContent xmlns:mc="http://schemas.openxmlformats.org/markup-compatibility/2006">
          <mc:Choice Requires="x14">
            <control shapeId="5" r:id="rId24" name="Option Button 6">
              <controlPr defaultSize="0" autoFill="0" autoLine="0" autoPict="0">
                <anchor moveWithCells="1" sizeWithCells="1">
                  <from>
                    <xdr:col>13</xdr:col>
                    <xdr:colOff>114300</xdr:colOff>
                    <xdr:row>10</xdr:row>
                    <xdr:rowOff>114300</xdr:rowOff>
                  </from>
                  <to>
                    <xdr:col>13</xdr:col>
                    <xdr:colOff>561975</xdr:colOff>
                    <xdr:row>12</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631a279-5a15-4d42-8c5c-c081a45901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8C56B376FAC4A84B43F14AF8279D7" ma:contentTypeVersion="17" ma:contentTypeDescription="Create a new document." ma:contentTypeScope="" ma:versionID="6e28fcf4f66d2a8329996db72d97beb3">
  <xsd:schema xmlns:xsd="http://www.w3.org/2001/XMLSchema" xmlns:xs="http://www.w3.org/2001/XMLSchema" xmlns:p="http://schemas.microsoft.com/office/2006/metadata/properties" xmlns:ns3="a631a279-5a15-4d42-8c5c-c081a45901f6" xmlns:ns4="f8a1abd1-0732-4ba5-993c-eb9e15cff616" targetNamespace="http://schemas.microsoft.com/office/2006/metadata/properties" ma:root="true" ma:fieldsID="f48eeedd8e0b16781a42d43a39091848" ns3:_="" ns4:_="">
    <xsd:import namespace="a631a279-5a15-4d42-8c5c-c081a45901f6"/>
    <xsd:import namespace="f8a1abd1-0732-4ba5-993c-eb9e15cff61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1a279-5a15-4d42-8c5c-c081a4590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a1abd1-0732-4ba5-993c-eb9e15cff61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D9314-B9FA-4E76-992A-52ECFD18EE17}">
  <ds:schemaRefs>
    <ds:schemaRef ds:uri="http://purl.org/dc/dcmitype/"/>
    <ds:schemaRef ds:uri="http://schemas.microsoft.com/office/2006/metadata/properties"/>
    <ds:schemaRef ds:uri="http://schemas.openxmlformats.org/package/2006/metadata/core-properties"/>
    <ds:schemaRef ds:uri="http://purl.org/dc/elements/1.1/"/>
    <ds:schemaRef ds:uri="a631a279-5a15-4d42-8c5c-c081a45901f6"/>
    <ds:schemaRef ds:uri="http://schemas.microsoft.com/office/2006/documentManagement/types"/>
    <ds:schemaRef ds:uri="http://purl.org/dc/terms/"/>
    <ds:schemaRef ds:uri="http://schemas.microsoft.com/office/infopath/2007/PartnerControls"/>
    <ds:schemaRef ds:uri="f8a1abd1-0732-4ba5-993c-eb9e15cff616"/>
    <ds:schemaRef ds:uri="http://www.w3.org/XML/1998/namespace"/>
  </ds:schemaRefs>
</ds:datastoreItem>
</file>

<file path=customXml/itemProps2.xml><?xml version="1.0" encoding="utf-8"?>
<ds:datastoreItem xmlns:ds="http://schemas.openxmlformats.org/officeDocument/2006/customXml" ds:itemID="{00EC0F97-A60B-44AA-8B4B-8C8196E4ABAE}">
  <ds:schemaRefs>
    <ds:schemaRef ds:uri="http://schemas.microsoft.com/sharepoint/v3/contenttype/forms"/>
  </ds:schemaRefs>
</ds:datastoreItem>
</file>

<file path=customXml/itemProps3.xml><?xml version="1.0" encoding="utf-8"?>
<ds:datastoreItem xmlns:ds="http://schemas.openxmlformats.org/officeDocument/2006/customXml" ds:itemID="{8ECDCA6F-CF5E-41FF-865E-2004713A8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31a279-5a15-4d42-8c5c-c081a45901f6"/>
    <ds:schemaRef ds:uri="f8a1abd1-0732-4ba5-993c-eb9e15cff6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2</vt:i4>
      </vt:variant>
    </vt:vector>
  </HeadingPairs>
  <TitlesOfParts>
    <vt:vector size="4" baseType="lpstr">
      <vt:lpstr>Plan</vt:lpstr>
      <vt:lpstr>Raport_revizuire</vt:lpstr>
      <vt:lpstr>Plan!Zona_de_imprimat</vt:lpstr>
      <vt:lpstr>Raport_revizuire!Zona_de_imprimat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Patricia-Georgiana Rechisan</cp:lastModifiedBy>
  <cp:lastPrinted>2025-04-23T07:01:02Z</cp:lastPrinted>
  <dcterms:created xsi:type="dcterms:W3CDTF">2013-06-27T08:19:59Z</dcterms:created>
  <dcterms:modified xsi:type="dcterms:W3CDTF">2025-04-25T06:33:36Z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0x010100DAB8C56B376FAC4A84B43F14AF8279D7</vt:lpwstr>
  </property>
</Properties>
</file>