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patricia_rechisan_ubbcluj_ro/Documents/Planuri_de_invatamant_2025/15. FSPAC/Finale_EXCEL/"/>
    </mc:Choice>
  </mc:AlternateContent>
  <xr:revisionPtr revIDLastSave="292" documentId="13_ncr:1_{8DBCA405-34D1-4249-84DB-0D3082F203C6}" xr6:coauthVersionLast="47" xr6:coauthVersionMax="47" xr10:uidLastSave="{B28DB6C7-BE71-4477-B312-F6BD028FB96A}"/>
  <bookViews>
    <workbookView xWindow="-120" yWindow="-120" windowWidth="29040" windowHeight="15720" xr2:uid="{00000000-000D-0000-FFFF-FFFF00000000}"/>
  </bookViews>
  <sheets>
    <sheet name="Plan" sheetId="1" r:id="rId1"/>
    <sheet name="Raport_revizuire" sheetId="2" r:id="rId2"/>
  </sheets>
  <definedNames>
    <definedName name="_xlnm.Print_Area" localSheetId="0">Plan!$A$1:$T$339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8" i="1" l="1"/>
  <c r="K230" i="1" l="1"/>
  <c r="U302" i="1" s="1"/>
  <c r="K223" i="1"/>
  <c r="K228" i="1" s="1"/>
  <c r="K227" i="1"/>
  <c r="L227" i="1"/>
  <c r="M227" i="1"/>
  <c r="N227" i="1"/>
  <c r="O227" i="1"/>
  <c r="P227" i="1"/>
  <c r="Q227" i="1"/>
  <c r="R227" i="1"/>
  <c r="S227" i="1"/>
  <c r="T227" i="1"/>
  <c r="J227" i="1"/>
  <c r="T226" i="1"/>
  <c r="J226" i="1"/>
  <c r="T128" i="1"/>
  <c r="T141" i="1"/>
  <c r="T153" i="1"/>
  <c r="J141" i="1"/>
  <c r="T247" i="1"/>
  <c r="S247" i="1"/>
  <c r="R247" i="1"/>
  <c r="Q247" i="1"/>
  <c r="M247" i="1"/>
  <c r="L247" i="1"/>
  <c r="K247" i="1"/>
  <c r="J247" i="1"/>
  <c r="A247" i="1"/>
  <c r="T246" i="1"/>
  <c r="S246" i="1"/>
  <c r="R246" i="1"/>
  <c r="Q246" i="1"/>
  <c r="M246" i="1"/>
  <c r="L246" i="1"/>
  <c r="K246" i="1"/>
  <c r="J246" i="1"/>
  <c r="A246" i="1"/>
  <c r="T244" i="1"/>
  <c r="S244" i="1"/>
  <c r="R244" i="1"/>
  <c r="Q244" i="1"/>
  <c r="M244" i="1"/>
  <c r="L244" i="1"/>
  <c r="K244" i="1"/>
  <c r="J244" i="1"/>
  <c r="A244" i="1"/>
  <c r="T240" i="1"/>
  <c r="S240" i="1"/>
  <c r="R240" i="1"/>
  <c r="Q240" i="1"/>
  <c r="M240" i="1"/>
  <c r="L240" i="1"/>
  <c r="K240" i="1"/>
  <c r="J240" i="1"/>
  <c r="A240" i="1"/>
  <c r="Q128" i="1"/>
  <c r="T165" i="1"/>
  <c r="L181" i="1"/>
  <c r="M181" i="1"/>
  <c r="K181" i="1"/>
  <c r="T180" i="1"/>
  <c r="S180" i="1"/>
  <c r="R180" i="1"/>
  <c r="Q180" i="1"/>
  <c r="J180" i="1"/>
  <c r="K180" i="1"/>
  <c r="L180" i="1"/>
  <c r="M180" i="1"/>
  <c r="M300" i="1" l="1"/>
  <c r="M389" i="1"/>
  <c r="L389" i="1"/>
  <c r="K389" i="1"/>
  <c r="S388" i="1"/>
  <c r="R388" i="1"/>
  <c r="Q388" i="1"/>
  <c r="M388" i="1"/>
  <c r="L388" i="1"/>
  <c r="K388" i="1"/>
  <c r="J388" i="1"/>
  <c r="P385" i="1"/>
  <c r="N385" i="1"/>
  <c r="P384" i="1"/>
  <c r="N384" i="1"/>
  <c r="P382" i="1"/>
  <c r="N382" i="1"/>
  <c r="P381" i="1"/>
  <c r="N381" i="1"/>
  <c r="P379" i="1"/>
  <c r="N379" i="1"/>
  <c r="P378" i="1"/>
  <c r="N378" i="1"/>
  <c r="M363" i="1"/>
  <c r="L363" i="1"/>
  <c r="K363" i="1"/>
  <c r="S362" i="1"/>
  <c r="R362" i="1"/>
  <c r="Q362" i="1"/>
  <c r="M362" i="1"/>
  <c r="L362" i="1"/>
  <c r="K362" i="1"/>
  <c r="J362" i="1"/>
  <c r="P359" i="1"/>
  <c r="N359" i="1"/>
  <c r="P358" i="1"/>
  <c r="N358" i="1"/>
  <c r="P356" i="1"/>
  <c r="N356" i="1"/>
  <c r="P355" i="1"/>
  <c r="N355" i="1"/>
  <c r="P353" i="1"/>
  <c r="N353" i="1"/>
  <c r="P352" i="1"/>
  <c r="N352" i="1"/>
  <c r="O355" i="1" l="1"/>
  <c r="O379" i="1"/>
  <c r="O356" i="1"/>
  <c r="O358" i="1"/>
  <c r="K390" i="1"/>
  <c r="O359" i="1"/>
  <c r="O382" i="1"/>
  <c r="K364" i="1"/>
  <c r="P389" i="1"/>
  <c r="N363" i="1"/>
  <c r="O381" i="1"/>
  <c r="N389" i="1"/>
  <c r="O385" i="1"/>
  <c r="O384" i="1"/>
  <c r="P388" i="1"/>
  <c r="P363" i="1"/>
  <c r="O352" i="1"/>
  <c r="O378" i="1"/>
  <c r="N388" i="1"/>
  <c r="O353" i="1"/>
  <c r="N362" i="1"/>
  <c r="P362" i="1"/>
  <c r="O363" i="1" l="1"/>
  <c r="N364" i="1" s="1"/>
  <c r="O388" i="1"/>
  <c r="O389" i="1"/>
  <c r="N390" i="1" s="1"/>
  <c r="O362" i="1"/>
  <c r="M334" i="1" l="1"/>
  <c r="L334" i="1"/>
  <c r="K334" i="1"/>
  <c r="S333" i="1"/>
  <c r="R333" i="1"/>
  <c r="Q333" i="1"/>
  <c r="M333" i="1"/>
  <c r="L333" i="1"/>
  <c r="K333" i="1"/>
  <c r="J333" i="1"/>
  <c r="P330" i="1"/>
  <c r="N330" i="1"/>
  <c r="P329" i="1"/>
  <c r="N329" i="1"/>
  <c r="P327" i="1"/>
  <c r="N327" i="1"/>
  <c r="P326" i="1"/>
  <c r="N326" i="1"/>
  <c r="P324" i="1"/>
  <c r="N324" i="1"/>
  <c r="P323" i="1"/>
  <c r="N323" i="1"/>
  <c r="K335" i="1" l="1"/>
  <c r="O330" i="1"/>
  <c r="O329" i="1"/>
  <c r="O323" i="1"/>
  <c r="O324" i="1"/>
  <c r="N334" i="1"/>
  <c r="O327" i="1"/>
  <c r="P333" i="1"/>
  <c r="P334" i="1"/>
  <c r="N333" i="1"/>
  <c r="O326" i="1"/>
  <c r="O334" i="1" l="1"/>
  <c r="N335" i="1" s="1"/>
  <c r="O333" i="1"/>
  <c r="Y305" i="1" l="1"/>
  <c r="Y304" i="1"/>
  <c r="T217" i="1" l="1"/>
  <c r="T218" i="1"/>
  <c r="T219" i="1"/>
  <c r="T220" i="1"/>
  <c r="T221" i="1"/>
  <c r="T222" i="1"/>
  <c r="T225" i="1"/>
  <c r="T223" i="1" l="1"/>
  <c r="P162" i="1"/>
  <c r="P163" i="1"/>
  <c r="P164" i="1"/>
  <c r="P161" i="1"/>
  <c r="P165" i="1" l="1"/>
  <c r="T243" i="1"/>
  <c r="S243" i="1"/>
  <c r="R243" i="1"/>
  <c r="Q243" i="1"/>
  <c r="M243" i="1"/>
  <c r="L243" i="1"/>
  <c r="K243" i="1"/>
  <c r="J243" i="1"/>
  <c r="A243" i="1"/>
  <c r="T248" i="1"/>
  <c r="S248" i="1"/>
  <c r="R248" i="1"/>
  <c r="Q248" i="1"/>
  <c r="M248" i="1"/>
  <c r="L248" i="1"/>
  <c r="K248" i="1"/>
  <c r="J248" i="1"/>
  <c r="A248" i="1"/>
  <c r="T245" i="1"/>
  <c r="S245" i="1"/>
  <c r="R245" i="1"/>
  <c r="Q245" i="1"/>
  <c r="M245" i="1"/>
  <c r="L245" i="1"/>
  <c r="K245" i="1"/>
  <c r="J245" i="1"/>
  <c r="A245" i="1"/>
  <c r="T242" i="1"/>
  <c r="S242" i="1"/>
  <c r="R242" i="1"/>
  <c r="Q242" i="1"/>
  <c r="M242" i="1"/>
  <c r="L242" i="1"/>
  <c r="K242" i="1"/>
  <c r="J242" i="1"/>
  <c r="A242" i="1"/>
  <c r="T241" i="1"/>
  <c r="S241" i="1"/>
  <c r="R241" i="1"/>
  <c r="Q241" i="1"/>
  <c r="M241" i="1"/>
  <c r="L241" i="1"/>
  <c r="K241" i="1"/>
  <c r="J241" i="1"/>
  <c r="A241" i="1"/>
  <c r="N161" i="1" l="1"/>
  <c r="P147" i="1"/>
  <c r="N147" i="1"/>
  <c r="P135" i="1"/>
  <c r="N135" i="1"/>
  <c r="N245" i="1" l="1"/>
  <c r="P245" i="1"/>
  <c r="O135" i="1"/>
  <c r="O147" i="1"/>
  <c r="O161" i="1"/>
  <c r="O245" i="1" l="1"/>
  <c r="L197" i="1"/>
  <c r="M197" i="1"/>
  <c r="K197" i="1"/>
  <c r="T196" i="1"/>
  <c r="S196" i="1"/>
  <c r="K196" i="1"/>
  <c r="L196" i="1"/>
  <c r="M196" i="1"/>
  <c r="J196" i="1"/>
  <c r="U31" i="1" l="1"/>
  <c r="R196" i="1" l="1"/>
  <c r="Q196" i="1"/>
  <c r="P194" i="1" l="1"/>
  <c r="N194" i="1"/>
  <c r="P193" i="1"/>
  <c r="N193" i="1"/>
  <c r="N197" i="1" l="1"/>
  <c r="N196" i="1"/>
  <c r="P197" i="1"/>
  <c r="P196" i="1"/>
  <c r="O193" i="1"/>
  <c r="K198" i="1"/>
  <c r="O194" i="1"/>
  <c r="O196" i="1" l="1"/>
  <c r="O197" i="1"/>
  <c r="N198" i="1" s="1"/>
  <c r="A251" i="1" l="1"/>
  <c r="J251" i="1"/>
  <c r="K251" i="1"/>
  <c r="L251" i="1"/>
  <c r="M251" i="1"/>
  <c r="P251" i="1"/>
  <c r="Q251" i="1"/>
  <c r="R251" i="1"/>
  <c r="S251" i="1"/>
  <c r="T251" i="1"/>
  <c r="A252" i="1"/>
  <c r="J252" i="1"/>
  <c r="K252" i="1"/>
  <c r="L252" i="1"/>
  <c r="M252" i="1"/>
  <c r="P252" i="1"/>
  <c r="Q252" i="1"/>
  <c r="R252" i="1"/>
  <c r="S252" i="1"/>
  <c r="T252" i="1"/>
  <c r="A253" i="1"/>
  <c r="J253" i="1"/>
  <c r="K253" i="1"/>
  <c r="L253" i="1"/>
  <c r="M253" i="1"/>
  <c r="P253" i="1"/>
  <c r="Q253" i="1"/>
  <c r="R253" i="1"/>
  <c r="S253" i="1"/>
  <c r="T253" i="1"/>
  <c r="J254" i="1" l="1"/>
  <c r="M254" i="1"/>
  <c r="T254" i="1"/>
  <c r="L254" i="1"/>
  <c r="Q254" i="1"/>
  <c r="R254" i="1"/>
  <c r="S254" i="1"/>
  <c r="K254" i="1"/>
  <c r="P254" i="1"/>
  <c r="T268" i="1"/>
  <c r="T267" i="1"/>
  <c r="T239" i="1"/>
  <c r="S222" i="1"/>
  <c r="R222" i="1"/>
  <c r="Q222" i="1"/>
  <c r="M222" i="1"/>
  <c r="L222" i="1"/>
  <c r="K222" i="1"/>
  <c r="J222" i="1"/>
  <c r="A222" i="1"/>
  <c r="P127" i="1"/>
  <c r="N127" i="1"/>
  <c r="T269" i="1" l="1"/>
  <c r="T249" i="1"/>
  <c r="T255" i="1" s="1"/>
  <c r="O127" i="1"/>
  <c r="K272" i="1" l="1"/>
  <c r="K199" i="1"/>
  <c r="K183" i="1"/>
  <c r="K258" i="1"/>
  <c r="S128" i="1"/>
  <c r="R128" i="1"/>
  <c r="S141" i="1"/>
  <c r="R141" i="1"/>
  <c r="Q141" i="1"/>
  <c r="U32" i="1"/>
  <c r="U304" i="1" l="1"/>
  <c r="W302" i="1"/>
  <c r="W304" i="1" s="1"/>
  <c r="U128" i="1"/>
  <c r="U141" i="1"/>
  <c r="A239" i="1"/>
  <c r="S268" i="1" l="1"/>
  <c r="R268" i="1"/>
  <c r="Q268" i="1"/>
  <c r="M268" i="1"/>
  <c r="L268" i="1"/>
  <c r="K268" i="1"/>
  <c r="J268" i="1"/>
  <c r="A268" i="1"/>
  <c r="S267" i="1"/>
  <c r="R267" i="1"/>
  <c r="Q267" i="1"/>
  <c r="M267" i="1"/>
  <c r="L267" i="1"/>
  <c r="K267" i="1"/>
  <c r="J267" i="1"/>
  <c r="A267" i="1"/>
  <c r="S239" i="1"/>
  <c r="R239" i="1"/>
  <c r="Q239" i="1"/>
  <c r="M239" i="1"/>
  <c r="L239" i="1"/>
  <c r="K239" i="1"/>
  <c r="J239" i="1"/>
  <c r="J269" i="1" l="1"/>
  <c r="Q218" i="1"/>
  <c r="R217" i="1"/>
  <c r="S217" i="1"/>
  <c r="S225" i="1" l="1"/>
  <c r="S226" i="1" s="1"/>
  <c r="R225" i="1"/>
  <c r="R226" i="1" s="1"/>
  <c r="Q225" i="1"/>
  <c r="Q226" i="1" s="1"/>
  <c r="P225" i="1"/>
  <c r="P226" i="1" s="1"/>
  <c r="O225" i="1"/>
  <c r="O226" i="1" s="1"/>
  <c r="N225" i="1"/>
  <c r="N226" i="1" s="1"/>
  <c r="M225" i="1"/>
  <c r="M226" i="1" s="1"/>
  <c r="L225" i="1"/>
  <c r="L226" i="1" s="1"/>
  <c r="K225" i="1"/>
  <c r="K226" i="1" s="1"/>
  <c r="J225" i="1"/>
  <c r="A225" i="1"/>
  <c r="S221" i="1"/>
  <c r="R221" i="1"/>
  <c r="Q221" i="1"/>
  <c r="M221" i="1"/>
  <c r="L221" i="1"/>
  <c r="K221" i="1"/>
  <c r="J221" i="1"/>
  <c r="A221" i="1"/>
  <c r="S220" i="1"/>
  <c r="R220" i="1"/>
  <c r="Q220" i="1"/>
  <c r="M220" i="1"/>
  <c r="L220" i="1"/>
  <c r="K220" i="1"/>
  <c r="J220" i="1"/>
  <c r="A220" i="1"/>
  <c r="A219" i="1" l="1"/>
  <c r="A218" i="1"/>
  <c r="S219" i="1"/>
  <c r="R219" i="1"/>
  <c r="Q219" i="1"/>
  <c r="P219" i="1"/>
  <c r="O219" i="1"/>
  <c r="N219" i="1"/>
  <c r="M219" i="1"/>
  <c r="L219" i="1"/>
  <c r="K219" i="1"/>
  <c r="J219" i="1"/>
  <c r="S218" i="1"/>
  <c r="R218" i="1"/>
  <c r="M218" i="1"/>
  <c r="L218" i="1"/>
  <c r="K218" i="1"/>
  <c r="J218" i="1"/>
  <c r="Q217" i="1"/>
  <c r="M217" i="1"/>
  <c r="L217" i="1"/>
  <c r="L223" i="1" s="1"/>
  <c r="L228" i="1" s="1"/>
  <c r="K217" i="1"/>
  <c r="J217" i="1"/>
  <c r="J223" i="1" s="1"/>
  <c r="A217" i="1"/>
  <c r="Q223" i="1" l="1"/>
  <c r="M223" i="1"/>
  <c r="R223" i="1"/>
  <c r="S223" i="1"/>
  <c r="S269" i="1"/>
  <c r="R269" i="1"/>
  <c r="Q269" i="1"/>
  <c r="M269" i="1"/>
  <c r="M270" i="1" s="1"/>
  <c r="L269" i="1"/>
  <c r="L270" i="1" s="1"/>
  <c r="K269" i="1"/>
  <c r="K270" i="1" s="1"/>
  <c r="S249" i="1"/>
  <c r="R249" i="1"/>
  <c r="Q249" i="1"/>
  <c r="M249" i="1"/>
  <c r="L249" i="1"/>
  <c r="K249" i="1"/>
  <c r="K256" i="1" s="1"/>
  <c r="J249" i="1"/>
  <c r="P174" i="1"/>
  <c r="P175" i="1"/>
  <c r="P179" i="1"/>
  <c r="N179" i="1"/>
  <c r="N175" i="1"/>
  <c r="P138" i="1"/>
  <c r="P241" i="1" s="1"/>
  <c r="N138" i="1"/>
  <c r="N241" i="1" s="1"/>
  <c r="P126" i="1"/>
  <c r="P220" i="1" s="1"/>
  <c r="N126" i="1"/>
  <c r="N220" i="1" s="1"/>
  <c r="P178" i="1"/>
  <c r="N178" i="1"/>
  <c r="P176" i="1"/>
  <c r="N176" i="1"/>
  <c r="N174" i="1"/>
  <c r="S165" i="1"/>
  <c r="R165" i="1"/>
  <c r="Q165" i="1"/>
  <c r="M165" i="1"/>
  <c r="L165" i="1"/>
  <c r="K165" i="1"/>
  <c r="J165" i="1"/>
  <c r="U161" i="1" s="1"/>
  <c r="N164" i="1"/>
  <c r="N253" i="1" s="1"/>
  <c r="N163" i="1"/>
  <c r="N252" i="1" s="1"/>
  <c r="N162" i="1"/>
  <c r="N251" i="1" s="1"/>
  <c r="S153" i="1"/>
  <c r="R153" i="1"/>
  <c r="Q153" i="1"/>
  <c r="M153" i="1"/>
  <c r="L153" i="1"/>
  <c r="K153" i="1"/>
  <c r="J153" i="1"/>
  <c r="P152" i="1"/>
  <c r="N152" i="1"/>
  <c r="P151" i="1"/>
  <c r="N151" i="1"/>
  <c r="P150" i="1"/>
  <c r="N150" i="1"/>
  <c r="P149" i="1"/>
  <c r="N149" i="1"/>
  <c r="P148" i="1"/>
  <c r="P222" i="1" s="1"/>
  <c r="N148" i="1"/>
  <c r="N222" i="1" s="1"/>
  <c r="M141" i="1"/>
  <c r="L141" i="1"/>
  <c r="K141" i="1"/>
  <c r="U135" i="1"/>
  <c r="P140" i="1"/>
  <c r="P244" i="1" s="1"/>
  <c r="N140" i="1"/>
  <c r="N244" i="1" s="1"/>
  <c r="P139" i="1"/>
  <c r="P243" i="1" s="1"/>
  <c r="N139" i="1"/>
  <c r="N243" i="1" s="1"/>
  <c r="P137" i="1"/>
  <c r="P267" i="1" s="1"/>
  <c r="N137" i="1"/>
  <c r="N267" i="1" s="1"/>
  <c r="P136" i="1"/>
  <c r="P221" i="1" s="1"/>
  <c r="N136" i="1"/>
  <c r="N221" i="1" s="1"/>
  <c r="N125" i="1"/>
  <c r="N242" i="1" s="1"/>
  <c r="N124" i="1"/>
  <c r="N240" i="1" s="1"/>
  <c r="N123" i="1"/>
  <c r="N122" i="1"/>
  <c r="P125" i="1"/>
  <c r="P242" i="1" s="1"/>
  <c r="K128" i="1"/>
  <c r="P124" i="1"/>
  <c r="P240" i="1" s="1"/>
  <c r="P123" i="1"/>
  <c r="P122" i="1"/>
  <c r="M128" i="1"/>
  <c r="L128" i="1"/>
  <c r="J128" i="1"/>
  <c r="U122" i="1" s="1"/>
  <c r="M228" i="1" l="1"/>
  <c r="N248" i="1"/>
  <c r="N247" i="1"/>
  <c r="P248" i="1"/>
  <c r="P247" i="1"/>
  <c r="N268" i="1"/>
  <c r="N246" i="1"/>
  <c r="P268" i="1"/>
  <c r="P246" i="1"/>
  <c r="P180" i="1"/>
  <c r="P181" i="1"/>
  <c r="N181" i="1"/>
  <c r="J282" i="1" s="1"/>
  <c r="N180" i="1"/>
  <c r="N254" i="1"/>
  <c r="U147" i="1"/>
  <c r="T281" i="1"/>
  <c r="T283" i="1" s="1"/>
  <c r="R281" i="1"/>
  <c r="R283" i="1" s="1"/>
  <c r="O174" i="1"/>
  <c r="N128" i="1"/>
  <c r="O149" i="1"/>
  <c r="P153" i="1"/>
  <c r="O150" i="1"/>
  <c r="U153" i="1"/>
  <c r="O138" i="1"/>
  <c r="O241" i="1" s="1"/>
  <c r="O136" i="1"/>
  <c r="O221" i="1" s="1"/>
  <c r="O137" i="1"/>
  <c r="O267" i="1" s="1"/>
  <c r="O140" i="1"/>
  <c r="O244" i="1" s="1"/>
  <c r="N153" i="1"/>
  <c r="O5" i="1" s="1"/>
  <c r="U5" i="1" s="1"/>
  <c r="U165" i="1"/>
  <c r="S255" i="1"/>
  <c r="M255" i="1"/>
  <c r="J255" i="1"/>
  <c r="L255" i="1"/>
  <c r="Q255" i="1"/>
  <c r="M256" i="1"/>
  <c r="R255" i="1"/>
  <c r="N239" i="1"/>
  <c r="N217" i="1"/>
  <c r="N223" i="1" s="1"/>
  <c r="N228" i="1" s="1"/>
  <c r="P141" i="1"/>
  <c r="P218" i="1"/>
  <c r="O162" i="1"/>
  <c r="O251" i="1" s="1"/>
  <c r="O164" i="1"/>
  <c r="O253" i="1" s="1"/>
  <c r="O178" i="1"/>
  <c r="O179" i="1"/>
  <c r="P269" i="1"/>
  <c r="P270" i="1" s="1"/>
  <c r="P239" i="1"/>
  <c r="P217" i="1"/>
  <c r="N218" i="1"/>
  <c r="L256" i="1"/>
  <c r="O126" i="1"/>
  <c r="O220" i="1" s="1"/>
  <c r="O122" i="1"/>
  <c r="O125" i="1"/>
  <c r="O242" i="1" s="1"/>
  <c r="O124" i="1"/>
  <c r="O240" i="1" s="1"/>
  <c r="N165" i="1"/>
  <c r="P128" i="1"/>
  <c r="O123" i="1"/>
  <c r="N141" i="1"/>
  <c r="R4" i="1" s="1"/>
  <c r="U4" i="1" s="1"/>
  <c r="O139" i="1"/>
  <c r="O243" i="1" s="1"/>
  <c r="O148" i="1"/>
  <c r="O222" i="1" s="1"/>
  <c r="O151" i="1"/>
  <c r="O152" i="1"/>
  <c r="O163" i="1"/>
  <c r="O252" i="1" s="1"/>
  <c r="O176" i="1"/>
  <c r="O175" i="1"/>
  <c r="K182" i="1"/>
  <c r="K255" i="1"/>
  <c r="P223" i="1" l="1"/>
  <c r="O248" i="1"/>
  <c r="O247" i="1"/>
  <c r="O268" i="1"/>
  <c r="O269" i="1" s="1"/>
  <c r="O270" i="1" s="1"/>
  <c r="O246" i="1"/>
  <c r="O181" i="1"/>
  <c r="O180" i="1"/>
  <c r="O254" i="1"/>
  <c r="J281" i="1"/>
  <c r="K200" i="1"/>
  <c r="K184" i="1"/>
  <c r="L282" i="1"/>
  <c r="K271" i="1"/>
  <c r="K273" i="1" s="1"/>
  <c r="H282" i="1"/>
  <c r="O4" i="1"/>
  <c r="U3" i="1" s="1"/>
  <c r="R5" i="1"/>
  <c r="U6" i="1" s="1"/>
  <c r="P249" i="1"/>
  <c r="P255" i="1" s="1"/>
  <c r="N269" i="1"/>
  <c r="N270" i="1" s="1"/>
  <c r="K257" i="1"/>
  <c r="K259" i="1" s="1"/>
  <c r="O218" i="1"/>
  <c r="O239" i="1"/>
  <c r="O217" i="1"/>
  <c r="N249" i="1"/>
  <c r="O141" i="1"/>
  <c r="O128" i="1"/>
  <c r="O165" i="1"/>
  <c r="O153" i="1"/>
  <c r="O223" i="1" l="1"/>
  <c r="P228" i="1"/>
  <c r="W303" i="1"/>
  <c r="W305" i="1" s="1"/>
  <c r="L281" i="1"/>
  <c r="L283" i="1" s="1"/>
  <c r="N282" i="1"/>
  <c r="K291" i="1"/>
  <c r="I291" i="1"/>
  <c r="K292" i="1"/>
  <c r="I292" i="1"/>
  <c r="H281" i="1"/>
  <c r="J283" i="1"/>
  <c r="P256" i="1"/>
  <c r="N182" i="1"/>
  <c r="K229" i="1"/>
  <c r="K231" i="1" s="1"/>
  <c r="U303" i="1" s="1"/>
  <c r="O249" i="1"/>
  <c r="O256" i="1" s="1"/>
  <c r="N271" i="1"/>
  <c r="O292" i="1" s="1"/>
  <c r="N256" i="1"/>
  <c r="N255" i="1"/>
  <c r="O228" i="1" l="1"/>
  <c r="U282" i="1"/>
  <c r="N281" i="1"/>
  <c r="N283" i="1" s="1"/>
  <c r="I290" i="1"/>
  <c r="I293" i="1" s="1"/>
  <c r="U290" i="1" s="1"/>
  <c r="U305" i="1"/>
  <c r="H283" i="1"/>
  <c r="P282" i="1" s="1"/>
  <c r="N257" i="1"/>
  <c r="O291" i="1" s="1"/>
  <c r="N229" i="1"/>
  <c r="O255" i="1"/>
  <c r="K290" i="1" l="1"/>
  <c r="K293" i="1" s="1"/>
  <c r="O290" i="1"/>
  <c r="P281" i="1"/>
  <c r="P283" i="1" s="1"/>
  <c r="O293" i="1" l="1"/>
  <c r="U292" i="1" l="1"/>
  <c r="R292" i="1"/>
  <c r="R291" i="1"/>
  <c r="R290" i="1"/>
  <c r="R2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00000000-0006-0000-0000-000001000000}">
      <text>
        <r>
          <rPr>
            <b/>
            <sz val="9"/>
            <color rgb="FF000000"/>
            <rFont val="Tahoma"/>
            <family val="2"/>
            <charset val="238"/>
          </rPr>
          <t xml:space="preserve">Gelu Gherghin:
</t>
        </r>
        <r>
          <rPr>
            <sz val="9"/>
            <color rgb="FFFF0000"/>
            <rFont val="Tahoma"/>
            <family val="2"/>
            <charset val="238"/>
          </rPr>
          <t>Se introduce numele facultății</t>
        </r>
      </text>
    </comment>
    <comment ref="O4" authorId="1" shapeId="0" xr:uid="{00000000-0006-0000-0000-000002000000}">
      <text>
        <r>
          <rPr>
            <b/>
            <sz val="9"/>
            <color rgb="FF000000"/>
            <rFont val="Tahoma"/>
            <family val="2"/>
            <charset val="238"/>
          </rPr>
          <t xml:space="preserve">Gelu Gherghin:
</t>
        </r>
        <r>
          <rPr>
            <b/>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0" shapeId="0" xr:uid="{95C99165-1E31-4F8B-BA12-BCF25E0AF6D2}">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numele domeniului, conform ultimului nomenclator publicat</t>
        </r>
      </text>
    </comment>
    <comment ref="A8" authorId="0" shapeId="0" xr:uid="{00000000-0006-0000-0000-000009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limba de predare, așa cum apare în H.G. -ul din care luați denumirea programului</t>
        </r>
      </text>
    </comment>
    <comment ref="A9" authorId="0" shapeId="0" xr:uid="{00000000-0006-0000-0000-00000A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titlul absolventului, conform ultimului H.G. referitor la titluri publicat</t>
        </r>
      </text>
    </comment>
    <comment ref="A12" authorId="1" shapeId="0" xr:uid="{48D07AB4-D5F2-4277-B230-D138C5C201EC}">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Alegeți una dintre variante: profesional/de cercetare/didactic. Ștergeți celelalte două variante.</t>
        </r>
      </text>
    </comment>
    <comment ref="A16" authorId="0" shapeId="0" xr:uid="{00000000-0006-0000-0000-00000C000000}">
      <text>
        <r>
          <rPr>
            <b/>
            <sz val="9"/>
            <color rgb="FF000000"/>
            <rFont val="Tahoma"/>
            <family val="2"/>
            <charset val="238"/>
          </rPr>
          <t xml:space="preserve">Gelu Gherghin:
</t>
        </r>
        <r>
          <rPr>
            <sz val="9"/>
            <color rgb="FFFF0000"/>
            <rFont val="Tahoma"/>
            <family val="2"/>
            <charset val="238"/>
          </rPr>
          <t xml:space="preserve">nr. credite obligatorii + nr. credite opționale trebuie să dea 180
</t>
        </r>
      </text>
    </comment>
    <comment ref="A18" authorId="0" shapeId="0" xr:uid="{10C238C2-FB70-450B-B322-E202674FEB66}">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19" authorId="1" shapeId="0" xr:uid="{1355F047-0492-40A2-828C-83C5FC8A81DA}">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A33" authorId="1" shapeId="0" xr:uid="{9E546C80-E1CF-4959-BD71-649CEE307974}">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105" authorId="1" shapeId="0" xr:uid="{82BE87D0-E016-49BB-B357-5AF68FBA7FD1}">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 xml:space="preserve">Vă rugăm să consultați Procedura de aplicare a etichetelor ODD (Obiective de Dezvoltare Durabilă - Sustainable Development Goals) în procesul academic.
</t>
        </r>
        <r>
          <rPr>
            <sz val="9"/>
            <color rgb="FF000000"/>
            <rFont val="Segoe UI"/>
            <family val="2"/>
            <charset val="238"/>
          </rPr>
          <t xml:space="preserve">
</t>
        </r>
        <r>
          <rPr>
            <sz val="9"/>
            <color rgb="FF000000"/>
            <rFont val="Segoe UI"/>
            <family val="2"/>
            <charset val="238"/>
          </rPr>
          <t>Păstrați doar etichetele care se potrivesc programului de studii (dacă este cazul) și ștergeți-le pe celelalte. Dacă nicio etichetă nu descrie programul, ștergeți toate etichetele și scrieți "Nu este cazul".</t>
        </r>
      </text>
    </comment>
    <comment ref="B132" authorId="1" shapeId="0" xr:uid="{00000000-0006-0000-0000-00001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32"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32"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32"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44" authorId="1"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44" authorId="1"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44"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44"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58" authorId="1" shapeId="0" xr:uid="{00000000-0006-0000-0000-000022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158"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58"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58"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68" authorId="1" shapeId="0" xr:uid="{00000000-0006-0000-0000-00002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170" authorId="1"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170"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170"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70"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70"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173" authorId="1" shapeId="0" xr:uid="{00000000-0006-0000-0000-00003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77" authorId="1" shapeId="0" xr:uid="{00000000-0006-0000-0000-00003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Q181" authorId="1" shapeId="0" xr:uid="{00000000-0006-0000-0000-00003A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183"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184" authorId="1"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189"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89"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89"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89"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99" authorId="1"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00"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217" authorId="1" shapeId="0" xr:uid="{00000000-0006-0000-0000-00004B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230" authorId="1" shapeId="0" xr:uid="{00000000-0006-0000-0000-00004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31" authorId="1" shapeId="0" xr:uid="{00000000-0006-0000-0000-00004D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33" authorId="1" shapeId="0" xr:uid="{00000000-0006-0000-0000-00004E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 xml:space="preserve">Acest tabel se va utiliza numai pentru domeniile pentru care standardele specifice prevăd Discipline de Domeniu (DD): 
</t>
        </r>
        <r>
          <rPr>
            <sz val="9"/>
            <color rgb="FFFF0000"/>
            <rFont val="Tahoma"/>
            <family val="2"/>
            <charset val="238"/>
          </rPr>
          <t xml:space="preserve">Științe inginerești, Științe economice, Arte, Educație fizică și sport, Științe sociale, politice și ale comunicării.
</t>
        </r>
        <r>
          <rPr>
            <sz val="9"/>
            <color rgb="FFFF0000"/>
            <rFont val="Tahoma"/>
            <family val="2"/>
            <charset val="238"/>
          </rPr>
          <t xml:space="preserve">
</t>
        </r>
        <r>
          <rPr>
            <b/>
            <sz val="9"/>
            <color rgb="FFFF0000"/>
            <rFont val="Tahoma"/>
            <family val="2"/>
            <charset val="238"/>
          </rPr>
          <t>Dacă programul de studii nu este incadrat într-unul din domeniile care au DD, ștergeți acest tabel cu totul din planul de învățământ.</t>
        </r>
      </text>
    </comment>
    <comment ref="B239" authorId="1" shapeId="0" xr:uid="{00000000-0006-0000-0000-00004F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B240" authorId="1" shapeId="0" xr:uid="{2EEB8F70-7300-4441-AC13-8BCEF75DEDD7}">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258" authorId="1" shapeId="0" xr:uid="{00000000-0006-0000-0000-000050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Pentru ca procentul calculat automat să fie corect, ștergeți toate rândurile din tabel rămase necompletate.</t>
        </r>
      </text>
    </comment>
    <comment ref="A259" authorId="1" shapeId="0" xr:uid="{00000000-0006-0000-0000-000051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72" authorId="1" shapeId="0" xr:uid="{00000000-0006-0000-0000-000055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Pentru ca procentul calculat automat să fie corect, ștergeți toate rândurile din tabel rămase necompletate.</t>
        </r>
      </text>
    </comment>
    <comment ref="A273" authorId="1"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78" authorId="1" shapeId="0" xr:uid="{00000000-0006-0000-0000-00005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introduceți manual date decât în celulele marcate cu galben</t>
        </r>
      </text>
    </comment>
  </commentList>
</comments>
</file>

<file path=xl/sharedStrings.xml><?xml version="1.0" encoding="utf-8"?>
<sst xmlns="http://schemas.openxmlformats.org/spreadsheetml/2006/main" count="620" uniqueCount="253">
  <si>
    <t>Activităţi didactice</t>
  </si>
  <si>
    <t>Sesiune de examene</t>
  </si>
  <si>
    <t>Vacanţă</t>
  </si>
  <si>
    <t>Sem I</t>
  </si>
  <si>
    <t>Sem II</t>
  </si>
  <si>
    <t>I</t>
  </si>
  <si>
    <t>V</t>
  </si>
  <si>
    <t>R</t>
  </si>
  <si>
    <t>Stagii de practică</t>
  </si>
  <si>
    <t xml:space="preserve">iarna </t>
  </si>
  <si>
    <t>prim</t>
  </si>
  <si>
    <t>vara</t>
  </si>
  <si>
    <t>Anul I</t>
  </si>
  <si>
    <t>Anul II</t>
  </si>
  <si>
    <t>II. DESFĂŞURAREA STUDIILOR (în număr de săptămani)</t>
  </si>
  <si>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</si>
  <si>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</si>
  <si>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</si>
  <si>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</si>
  <si>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</si>
  <si>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</si>
  <si>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</si>
  <si>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</si>
  <si>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</si>
  <si>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</si>
  <si>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</si>
  <si>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</si>
  <si>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</si>
  <si>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</si>
  <si>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</si>
  <si>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</si>
  <si>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</si>
  <si>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</si>
  <si>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</si>
  <si>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</si>
  <si>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</si>
  <si>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</si>
  <si>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</si>
  <si>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</si>
  <si>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</si>
  <si>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</si>
  <si>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DISCIPLINE OPȚIONALE</t>
  </si>
  <si>
    <t>%</t>
  </si>
  <si>
    <t xml:space="preserve">TOTAL ORE FIZICE / TOTAL ORE ALOCATE STUDIULUI </t>
  </si>
  <si>
    <t>An I, Semestrul 1</t>
  </si>
  <si>
    <t>An I, Semestrul 2</t>
  </si>
  <si>
    <t>An II, Semestrul 3</t>
  </si>
  <si>
    <t>An II, Semestrul 4</t>
  </si>
  <si>
    <t>DISCIPLINE DE PREGĂTIRE FUNDAMENTALĂ (DF)</t>
  </si>
  <si>
    <t>DISCIPLINE</t>
  </si>
  <si>
    <t>OBLIGATORII</t>
  </si>
  <si>
    <t>OPȚIONALE</t>
  </si>
  <si>
    <t>ORE FIZICE</t>
  </si>
  <si>
    <t>ORE ALOCATE STUDIULUI</t>
  </si>
  <si>
    <t>NR. DE CREDITE</t>
  </si>
  <si>
    <t>AN I</t>
  </si>
  <si>
    <t>AN II</t>
  </si>
  <si>
    <t>BILANȚ GENERAL</t>
  </si>
  <si>
    <t>Și</t>
  </si>
  <si>
    <t xml:space="preserve">TOTAL CREDITE / ORE PE SĂPTĂMÂNĂ / EVALUĂRI </t>
  </si>
  <si>
    <t xml:space="preserve">PROGRAM DE STUDII PSIHOPEDAGOGICE </t>
  </si>
  <si>
    <t>UNIVERSITATEA BABEŞ-BOLYAI CLUJ-NAPOCA</t>
  </si>
  <si>
    <t>PROCENT DIN NUMĂRUL TOTAL DE DISCIPLINE</t>
  </si>
  <si>
    <t xml:space="preserve">PROCENT DIN NUMĂRUL TOTAL DE ORE FIZICE </t>
  </si>
  <si>
    <t xml:space="preserve">Procent total discipline </t>
  </si>
  <si>
    <t>Procent total ore fizie</t>
  </si>
  <si>
    <t>ÎN TOATE TABELELE DIN ACEASTĂ MACHETĂ, TREBUIE SĂ INTRODUCEȚI  CONȚINUT NUMAI ÎN CELULELE MARCATE CU GALBEN. 
NICIO CELULĂ GALBENA NU TREBUIE SĂ RĂMÂNĂ  NECOMPLETATĂ.</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</si>
  <si>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</si>
  <si>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</si>
  <si>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</si>
  <si>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</si>
  <si>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</si>
  <si>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</si>
  <si>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</si>
  <si>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</si>
  <si>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</si>
  <si>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TOTAL CREDITE / ORE PE SĂPTĂMÂNĂ / EVALUĂRI / DISCIPLINE</t>
  </si>
  <si>
    <t xml:space="preserve">TOTAL CREDITE / ORE PE SĂPTĂMÂNĂ / EVALUĂRI / DISCIPLINE </t>
  </si>
  <si>
    <t>Fundamente de antreprenoriat / Fundamentals of Entrepreneurship</t>
  </si>
  <si>
    <t xml:space="preserve">Fundamente de educație umanistă (Teoria argumentării) / Fundamentals of humanities (Argumentation theory) </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</si>
  <si>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</si>
  <si>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</si>
  <si>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</si>
  <si>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</si>
  <si>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VII. COMPETENȚE ȘI/SAU REZULTATE ALE ÎNVĂȚĂRII ÎNSCRISE ÎN SUPLIMENTUL LA DIPLOMĂ</t>
  </si>
  <si>
    <t>IX. TABELUL DISCIPLINELOR</t>
  </si>
  <si>
    <t>BILANȚ PE TIPURI DE DISCIPLINE</t>
  </si>
  <si>
    <t>DF</t>
  </si>
  <si>
    <t>DS</t>
  </si>
  <si>
    <t xml:space="preserve">DISCIPLINE DE PREGĂTIRE FUNDAMENTALĂ </t>
  </si>
  <si>
    <t>DISCIPLINE DE SPECIALIATE</t>
  </si>
  <si>
    <t>TIP DISCIPLINĂ</t>
  </si>
  <si>
    <t>TOTAL ORE PRACTICĂ</t>
  </si>
  <si>
    <r>
      <t>Titlul absolventului:</t>
    </r>
    <r>
      <rPr>
        <b/>
        <sz val="10"/>
        <color rgb="FF000000"/>
        <rFont val="Times New Roman"/>
        <family val="1"/>
        <charset val="238"/>
      </rPr>
      <t xml:space="preserve"> master</t>
    </r>
  </si>
  <si>
    <r>
      <t xml:space="preserve">Durata studiilor: </t>
    </r>
    <r>
      <rPr>
        <b/>
        <sz val="10"/>
        <color indexed="8"/>
        <rFont val="Times New Roman"/>
        <family val="1"/>
      </rPr>
      <t>4 semestre</t>
    </r>
  </si>
  <si>
    <t>I. CERINŢE PENTRU OBŢINEREA DIPLOMEI DE MASTER</t>
  </si>
  <si>
    <t>120 de credite din care:</t>
  </si>
  <si>
    <r>
      <rPr>
        <b/>
        <sz val="10"/>
        <rFont val="Times New Roman"/>
        <family val="1"/>
        <charset val="238"/>
      </rPr>
      <t xml:space="preserve">10 </t>
    </r>
    <r>
      <rPr>
        <sz val="10"/>
        <rFont val="Times New Roman"/>
        <family val="1"/>
        <charset val="238"/>
      </rPr>
      <t>de credite la examenul de susținere a disertației</t>
    </r>
  </si>
  <si>
    <t>Pentru a ocupa posturi didactice în învăţământul liceal, postliceal şi universitar, absolvenţii trebuie să posede Certificat de absolvire a Programului se studii psihopedagogice, Nivelul II, a Departamentului pentru pregătirea personalului didactic. Disciplinelor Departamentului li se repartizează 30 de credite (+ 5 credite aferente examenului de absolvire)</t>
  </si>
  <si>
    <t>Semestrul 1 / Semestrul 2 / Semestrul 3 / Semestrul 4</t>
  </si>
  <si>
    <t>DISCIPLINE DE SPECIALITATE (DS)</t>
  </si>
  <si>
    <r>
      <rPr>
        <b/>
        <sz val="10"/>
        <color indexed="8"/>
        <rFont val="Times New Roman"/>
        <family val="1"/>
        <charset val="238"/>
      </rPr>
      <t xml:space="preserve">Domenii care au toate tipurile de discipline </t>
    </r>
    <r>
      <rPr>
        <sz val="10"/>
        <color indexed="8"/>
        <rFont val="Times New Roman"/>
        <family val="1"/>
      </rPr>
      <t xml:space="preserve">
DF+DS+DA+DSIN+DC</t>
    </r>
  </si>
  <si>
    <r>
      <rPr>
        <b/>
        <sz val="10"/>
        <rFont val="Times New Roman"/>
        <family val="1"/>
        <charset val="238"/>
      </rPr>
      <t>Domenii fără DF și DS</t>
    </r>
    <r>
      <rPr>
        <sz val="10"/>
        <color indexed="8"/>
        <rFont val="Times New Roman"/>
        <family val="1"/>
      </rPr>
      <t xml:space="preserve">
DF+DS+DA</t>
    </r>
  </si>
  <si>
    <t>Cheie de verificare personalizată - construiți cheia în funcție de specificul programului dumneavoastră</t>
  </si>
  <si>
    <t>Dacă domeniul dumneavoastră are Discipline Fundamentale (DF) și Discipline de Specialitate (DS), atunci luați în considerare prima coloană a cheii de verificare. Dacă domeniul  nu are DF și DS și ați șters tabelele DF și DS, atunci luați în considerare cea de-a doua coloană a cheii de verificare. Dacă domeniul are o combinație cu discipline diferită față de cele existente în primele două coloane, creați-vă o cheie de verificare personalizată în cea de-a treia coloană.</t>
  </si>
  <si>
    <t>Chei de verificare: Planul este corect dacă adunând procentele din toate tipurile de discipline se obține 100%</t>
  </si>
  <si>
    <t>MODUL PEDAGOCIC - Nivelul II: 30 de credite ECTS  + 5 credite ECTS aferente examenului de absolvire</t>
  </si>
  <si>
    <t>XND 1101</t>
  </si>
  <si>
    <t>Psihopedagogia adolescenţilor, tinerilor şi adulţilor/Psycho-pedagogy of teenagers, youth and adults</t>
  </si>
  <si>
    <t>XND 1102</t>
  </si>
  <si>
    <t>Proiectarea şi managementul programelor educaţionale/Design and management of educational programmes</t>
  </si>
  <si>
    <t>XND 1203</t>
  </si>
  <si>
    <t>Didactica domeniului şi dezvoltări în didactica specialităţii (învăţământ liceal, postliceal, universitar)/Field didactics and developments in the didactics of the specialization (high school, post-high school, higher education)</t>
  </si>
  <si>
    <t>DP</t>
  </si>
  <si>
    <t>XND 1204</t>
  </si>
  <si>
    <t>Disciplină opțională 1/Optional discipline (1)</t>
  </si>
  <si>
    <t>DO</t>
  </si>
  <si>
    <t>XND 2305</t>
  </si>
  <si>
    <t xml:space="preserve">Practică pedagogică (în învăţământul liceal, postliceal şi universitar)/Pre-service teaching practice (at high school, post-high school, higher education level)
</t>
  </si>
  <si>
    <t>XND 2306</t>
  </si>
  <si>
    <t>Disciplină opțională 2/Optional discipline (2)</t>
  </si>
  <si>
    <t>Examen de absolvire: Nivelul II/Graduation exam: Level II</t>
  </si>
  <si>
    <t>DF – Discipline de extensie a pregătirii psihopedagogice fundamentale (obligatorii)</t>
  </si>
  <si>
    <t>DP – Discipline de extensie a pregătirii didactice şi practice de specialitate (obligatorii)</t>
  </si>
  <si>
    <t xml:space="preserve">DO - Discipline opţionale </t>
  </si>
  <si>
    <t>Psihopedagogia adolescenţilor, tinerilor şi adulţilor/Serdülők, fiatalok és felnőttek pszichopedagógiája/Psycho-pedagogy of teenagers, youth and adults</t>
  </si>
  <si>
    <t>Proiectarea şi managementul programelor educaţionale/Oktatási programok tervezése és menedzsmentje/Design and management of educational programmes</t>
  </si>
  <si>
    <t>Didactica domeniului şi dezvoltări în didactica specialităţii (învăţământ liceal, postliceal, universitar)/A tudományterület didaktikája, szakmódszetan a líceumi, postliceális és egyetemi oktatásban/Field didactics and developments in the didactics of the specialization (high school, post-high school, higher education)</t>
  </si>
  <si>
    <t>Disciplină opțională 1/Opcionális tantárgy I./Optional discipline (1)</t>
  </si>
  <si>
    <t xml:space="preserve">Practică pedagogică (în învăţământul liceal, postliceal şi universitar)/Pedagógiai gyakorlat (líceumi, posztliceális és egyetemi oktatás)/Pre-service teaching practice (at high school, post-high school, higher education level)
</t>
  </si>
  <si>
    <t>Disciplină opțională 2/Opcionális tantárgy II./Optional discipline (2)</t>
  </si>
  <si>
    <t>Examen de absolvire: Nivelul II/II-es modul záróvizsga/Graduation exam: Level II</t>
  </si>
  <si>
    <t>MODUL PEDAGOGIC PENTRU PROGRAMELE ÎN LIMBA ROMÂNĂ ȘI ÎN LIMBA ENGLEZĂ
Dacă programul este predat în limba română, ștergeți următoarele două pagini aferente Modulului Pedagogic în limba maghiară și în limba germană</t>
  </si>
  <si>
    <t xml:space="preserve">MODUL PEDAGOGIC PENTRU PROGRAMELE ÎN LIMBA MAGHIARĂ
Dacă programul este predat în limba maghiară, ștergeți pagina anterioară, aferentă Modulului Pedagogic în limba română și pagina următoare, aferentă Modulului Pedagogic în limba germană. </t>
  </si>
  <si>
    <t>MODUL PEDAGOGIC PENTRU PROGRAMELE ÎN LIMBA GERMANĂ
Dacă programul este predat în limba germană, ștergeți cele două pagini anterioare aferente Modulului Pedagogic în limba română și în limba maghiară</t>
  </si>
  <si>
    <t>NUMĂRUL ORELOR DE PRACTICĂ PENTRU ELABORAREA LUCRĂRII DE DISERTAȚIE:</t>
  </si>
  <si>
    <t>Psihopedagogia adolescenţilor, tinerilor şi adulţilor/Psychologie und Pädagogik der Jugendlichen und der Erwachsenen/Psycho-pedagogy of teenagers, youth and adults</t>
  </si>
  <si>
    <t>Proiectarea şi managementul programelor educaţionale/Design und Management von Bildungsprogrammen/Design and management of educational programmes</t>
  </si>
  <si>
    <t>Didactica domeniului şi dezvoltări în didactica specialităţii (învăţământ liceal, postliceal, universitar)/Die Fachdidaktik und Entwicklungen in der Fachdidaktik (Oberstufe, Hochschule)/Field didactics and developments in the didactics of the specialization (high school, post-high school, higher education)</t>
  </si>
  <si>
    <t>Disciplină opțională 1/Wahlfach (1)/Optional discipline (1)</t>
  </si>
  <si>
    <t xml:space="preserve">Practică pedagogică (în învăţământul liceal, postliceal şi universitar)/Sculpraktikum (Oberstufe, Hochschule)/Pre-service teaching practice (at high school, post-high school, higher education level)
</t>
  </si>
  <si>
    <t>Disciplină opțională 2/Wahlfach (2)/Optional discipline (2)</t>
  </si>
  <si>
    <t>Examen de absolvire: Nivelul II/Abschlussprüfung: Niveau II/Graduation exam: Level II</t>
  </si>
  <si>
    <t>NR. TOTAL
 ORE</t>
  </si>
  <si>
    <t>NR. ORE
 FIZICE</t>
  </si>
  <si>
    <t>PROCENT 
ORE FIZICE</t>
  </si>
  <si>
    <t>PROCENT 
TOTAL ORE</t>
  </si>
  <si>
    <t>NUMĂRUL ORELOR DE PRACTICĂ (fără practica pentru elaborarea lucrării de disertație):</t>
  </si>
  <si>
    <r>
      <rPr>
        <b/>
        <sz val="10"/>
        <color indexed="8"/>
        <rFont val="Times New Roman"/>
        <family val="1"/>
      </rPr>
      <t xml:space="preserve">IV. EXAMENUL DE DISERTAȚIE 
</t>
    </r>
    <r>
      <rPr>
        <sz val="10"/>
        <color indexed="8"/>
        <rFont val="Times New Roman"/>
        <family val="1"/>
        <charset val="238"/>
      </rPr>
      <t>Perioada iunie-iulie (1 săptămână)
Proba:  Prezentarea şi susţinerea lucrării de disertație - 10 credite</t>
    </r>
  </si>
  <si>
    <t>Semestrul 4 (12 săptămâni)</t>
  </si>
  <si>
    <t>Semestrele 1 - 3 (14 săptămâni)</t>
  </si>
  <si>
    <t>DISCIPLINE COMPLEMENTARE (DC)</t>
  </si>
  <si>
    <t xml:space="preserve">DISCIPLINE COMPLEMENTARE </t>
  </si>
  <si>
    <t>VIII. ETICHETE ODD (OBIECTIVE DE DEZVOLTARE DURABILĂ / SUSTAINABLE DEVELOPMENT GOALS)</t>
  </si>
  <si>
    <t>Eticheta generală pentru Dezvoltare durabilă</t>
  </si>
  <si>
    <t>ORE DE PRACTICĂ</t>
  </si>
  <si>
    <r>
      <t xml:space="preserve">Competențele profesionale/esențiale și competențele transversale și/sau rezultatele învățării </t>
    </r>
    <r>
      <rPr>
        <b/>
        <sz val="10"/>
        <color rgb="FFFF0000"/>
        <rFont val="Times New Roman"/>
        <family val="1"/>
        <charset val="238"/>
      </rPr>
      <t>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</si>
  <si>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t xml:space="preserve">www.anc.edu.ro/registrul-national-al-calificarilor-din-invatamantul-superior-rncis </t>
  </si>
  <si>
    <t xml:space="preserve">https://green.ubbcluj.ro/procedura-de-aplicare-a-etichetelor-odd </t>
  </si>
  <si>
    <r>
      <t xml:space="preserve">Vă rugăm să consultați </t>
    </r>
    <r>
      <rPr>
        <b/>
        <i/>
        <sz val="10"/>
        <color rgb="FF000000"/>
        <rFont val="Times New Roman"/>
        <family val="1"/>
        <charset val="238"/>
      </rPr>
      <t xml:space="preserve">Procedura de aplicare a etichetelor ODD (Obiective de Dezvoltare Durabilă - Sustainable Development Goals) în procesul academic </t>
    </r>
    <r>
      <rPr>
        <sz val="10"/>
        <color rgb="FF000000"/>
        <rFont val="Times New Roman"/>
        <family val="1"/>
        <charset val="238"/>
      </rPr>
      <t>primită împreună cu macheta și disponibilă la link-ul de mai sus.</t>
    </r>
    <r>
      <rPr>
        <b/>
        <sz val="10"/>
        <color rgb="FFFF0000"/>
        <rFont val="Times New Roman"/>
        <family val="1"/>
        <charset val="238"/>
      </rPr>
      <t xml:space="preserve">
Etichetele ODD trebuie să se regăsească în fișele disciplinelor, de unde se și preiau.
Păstrați doar etichetele care se potrivesc programului de studii și ștergeți-le pe celelalte, inclusiv pe cea generală pentru </t>
    </r>
    <r>
      <rPr>
        <b/>
        <i/>
        <sz val="10"/>
        <color rgb="FFFF0000"/>
        <rFont val="Times New Roman"/>
        <family val="1"/>
        <charset val="238"/>
      </rPr>
      <t>Dezvoltare durabilă</t>
    </r>
    <r>
      <rPr>
        <b/>
        <sz val="10"/>
        <color rgb="FFFF0000"/>
        <rFont val="Times New Roman"/>
        <family val="1"/>
        <charset val="238"/>
      </rPr>
      <t xml:space="preserve"> - dacă nu se aplică programului.
Dacă nicio etichetă nu descrie programul (adică nu se regăsește în nicio fișă de disciplină), ștergeți toate etichetele și scrieți "</t>
    </r>
    <r>
      <rPr>
        <b/>
        <i/>
        <sz val="10"/>
        <color rgb="FFFF0000"/>
        <rFont val="Times New Roman"/>
        <family val="1"/>
        <charset val="238"/>
      </rPr>
      <t>Nu se aplică.</t>
    </r>
    <r>
      <rPr>
        <b/>
        <sz val="10"/>
        <color rgb="FFFF0000"/>
        <rFont val="Times New Roman"/>
        <family val="1"/>
        <charset val="238"/>
      </rPr>
      <t>".</t>
    </r>
  </si>
  <si>
    <t>FACULTATEA DE ȘTIINȚE POLITICE, ADMINISTRATIVE ȘI ALE COMUNICĂRII</t>
  </si>
  <si>
    <r>
      <t>Tipul programului de master:</t>
    </r>
    <r>
      <rPr>
        <b/>
        <sz val="10"/>
        <color rgb="FF000000"/>
        <rFont val="Times New Roman"/>
        <family val="1"/>
        <charset val="238"/>
      </rPr>
      <t xml:space="preserve"> profesional </t>
    </r>
  </si>
  <si>
    <t>Sem. 2: Se alege o disciplină din pachetul opțional 1 (UMX4300)</t>
  </si>
  <si>
    <t>Sem. 3: Se alege o disciplină din pachetul opțional 2 (MMX4310)</t>
  </si>
  <si>
    <r>
      <t xml:space="preserve">Programul de studii: </t>
    </r>
    <r>
      <rPr>
        <b/>
        <sz val="10"/>
        <color rgb="FF000000"/>
        <rFont val="Times New Roman"/>
        <family val="1"/>
      </rPr>
      <t>RELAȚII PUBLICE / PUBLIC RELATIONS</t>
    </r>
  </si>
  <si>
    <r>
      <t>COMPETENȚE TRANSVERSALE:</t>
    </r>
    <r>
      <rPr>
        <sz val="10"/>
        <color rgb="FF000000"/>
        <rFont val="Times New Roman"/>
        <family val="1"/>
      </rPr>
      <t xml:space="preserve">
Absolventul va putea:
</t>
    </r>
    <r>
      <rPr>
        <b/>
        <sz val="10"/>
        <color rgb="FF000000"/>
        <rFont val="Times New Roman"/>
        <family val="1"/>
      </rPr>
      <t>CT1.</t>
    </r>
    <r>
      <rPr>
        <sz val="10"/>
        <color rgb="FF000000"/>
        <rFont val="Times New Roman"/>
        <family val="1"/>
      </rPr>
      <t xml:space="preserve"> rezolva în mod realist – cu argumentare atât teoretică, cât și practică – a unor situații profesionale uzuale, în vederea soluționării eficiente și deontologice a acestora;
</t>
    </r>
    <r>
      <rPr>
        <b/>
        <sz val="10"/>
        <color rgb="FF000000"/>
        <rFont val="Times New Roman"/>
        <family val="1"/>
      </rPr>
      <t xml:space="preserve">CT2. </t>
    </r>
    <r>
      <rPr>
        <sz val="10"/>
        <color rgb="FF000000"/>
        <rFont val="Times New Roman"/>
        <family val="1"/>
      </rPr>
      <t xml:space="preserve">aplica tehnici de muncă eficientă în echipa multidisciplinară cu îndeplinirea anumitor sarcini pe paliere ierarhice;
</t>
    </r>
    <r>
      <rPr>
        <b/>
        <sz val="10"/>
        <color rgb="FF000000"/>
        <rFont val="Times New Roman"/>
        <family val="1"/>
      </rPr>
      <t>CT3.</t>
    </r>
    <r>
      <rPr>
        <sz val="10"/>
        <color rgb="FF000000"/>
        <rFont val="Times New Roman"/>
        <family val="1"/>
      </rPr>
      <t xml:space="preserve"> autoevalua nevoia de formare profesională în scopul inserției și a adaptării la cerințele pieței muncii;
</t>
    </r>
    <r>
      <rPr>
        <b/>
        <sz val="10"/>
        <color rgb="FF000000"/>
        <rFont val="Times New Roman"/>
        <family val="1"/>
      </rPr>
      <t>CT4</t>
    </r>
    <r>
      <rPr>
        <sz val="10"/>
        <color rgb="FF000000"/>
        <rFont val="Times New Roman"/>
        <family val="1"/>
      </rPr>
      <t xml:space="preserve">. respecta documentele informative transmise de clienți, planul de lucru, solicitările creative ale artiștilor, cerințele tehnice formulate de programatori și bugetul stabilit pentru proiectul în execuție; 
</t>
    </r>
    <r>
      <rPr>
        <b/>
        <sz val="10"/>
        <color rgb="FF000000"/>
        <rFont val="Times New Roman"/>
        <family val="1"/>
      </rPr>
      <t xml:space="preserve">CT5. </t>
    </r>
    <r>
      <rPr>
        <sz val="10"/>
        <color rgb="FF000000"/>
        <rFont val="Times New Roman"/>
        <family val="1"/>
      </rPr>
      <t xml:space="preserve">dezvolta rețele profesionale, stabili contacte pentru a menține fluxul de informații, stabili relații de afaceri și utiliza diferite canale de comunicare profesională;
</t>
    </r>
    <r>
      <rPr>
        <b/>
        <sz val="10"/>
        <color rgb="FF000000"/>
        <rFont val="Times New Roman"/>
        <family val="1"/>
      </rPr>
      <t>CT6.</t>
    </r>
    <r>
      <rPr>
        <sz val="10"/>
        <color rgb="FF000000"/>
        <rFont val="Times New Roman"/>
        <family val="1"/>
      </rPr>
      <t xml:space="preserve"> aborda problemele în mod critic, dezvolta idei creative și defini planuri de afaceri în contextul mediei tradiționale și digitale.</t>
    </r>
  </si>
  <si>
    <r>
      <t xml:space="preserve">TRANSVERSAL COMPETENCES:
</t>
    </r>
    <r>
      <rPr>
        <sz val="10"/>
        <color rgb="FF000000"/>
        <rFont val="Times New Roman"/>
        <family val="1"/>
      </rPr>
      <t xml:space="preserve">The graduate will be able to:
</t>
    </r>
    <r>
      <rPr>
        <b/>
        <sz val="10"/>
        <color rgb="FF000000"/>
        <rFont val="Times New Roman"/>
        <family val="1"/>
      </rPr>
      <t>CT1.</t>
    </r>
    <r>
      <rPr>
        <sz val="10"/>
        <color rgb="FF000000"/>
        <rFont val="Times New Roman"/>
        <family val="1"/>
      </rPr>
      <t xml:space="preserve"> solve realistically - with both theoretical and practical arguments - usual professional situations, in an efficient and deontological manner;
</t>
    </r>
    <r>
      <rPr>
        <b/>
        <sz val="10"/>
        <color rgb="FF000000"/>
        <rFont val="Times New Roman"/>
        <family val="1"/>
      </rPr>
      <t>CT2.</t>
    </r>
    <r>
      <rPr>
        <sz val="10"/>
        <color rgb="FF000000"/>
        <rFont val="Times New Roman"/>
        <family val="1"/>
      </rPr>
      <t xml:space="preserve"> apply efficient work techniques in the multidisciplinary team with the accomplishment of certain tasks on hierarchical levels;
</t>
    </r>
    <r>
      <rPr>
        <b/>
        <sz val="10"/>
        <color rgb="FF000000"/>
        <rFont val="Times New Roman"/>
        <family val="1"/>
      </rPr>
      <t>CT3.</t>
    </r>
    <r>
      <rPr>
        <sz val="10"/>
        <color rgb="FF000000"/>
        <rFont val="Times New Roman"/>
        <family val="1"/>
      </rPr>
      <t xml:space="preserve"> self-assess the need for vocational training to insert and adapt to the requirements of the labor market;
</t>
    </r>
    <r>
      <rPr>
        <b/>
        <sz val="10"/>
        <color rgb="FF000000"/>
        <rFont val="Times New Roman"/>
        <family val="1"/>
      </rPr>
      <t>CT4.</t>
    </r>
    <r>
      <rPr>
        <sz val="10"/>
        <color rgb="FF000000"/>
        <rFont val="Times New Roman"/>
        <family val="1"/>
      </rPr>
      <t xml:space="preserve"> respect the informative documents sent by the clients, the work plan, the creative requests of the artists, the technical requirements formulated by the programmers, and the budget established for the project in execution;
</t>
    </r>
    <r>
      <rPr>
        <b/>
        <sz val="10"/>
        <color rgb="FF000000"/>
        <rFont val="Times New Roman"/>
        <family val="1"/>
      </rPr>
      <t xml:space="preserve">CT5. </t>
    </r>
    <r>
      <rPr>
        <sz val="10"/>
        <color rgb="FF000000"/>
        <rFont val="Times New Roman"/>
        <family val="1"/>
      </rPr>
      <t xml:space="preserve">develop professional networks, establish contacts to maintain the flow of information, establish business relationships and use different channels for professional communication;
</t>
    </r>
    <r>
      <rPr>
        <b/>
        <sz val="10"/>
        <color rgb="FF000000"/>
        <rFont val="Times New Roman"/>
        <family val="1"/>
      </rPr>
      <t>CT6.</t>
    </r>
    <r>
      <rPr>
        <sz val="10"/>
        <color rgb="FF000000"/>
        <rFont val="Times New Roman"/>
        <family val="1"/>
      </rPr>
      <t xml:space="preserve"> critically address issues, develop creative ideas and define business plans in the context of the traditional and digital media environments.</t>
    </r>
  </si>
  <si>
    <t>UMR4101</t>
  </si>
  <si>
    <t>Forme și teorii ale comunicării / Forms and theories of communication</t>
  </si>
  <si>
    <t>UMR4102</t>
  </si>
  <si>
    <t>Relații publice. Instrumente și tehnici / Public Relations. Instruments and techniques</t>
  </si>
  <si>
    <t>UMR5315</t>
  </si>
  <si>
    <t>Discursuri direcționate și tehnici de prezentare / Directionate discourses and presenting techniques</t>
  </si>
  <si>
    <t>UMR4209</t>
  </si>
  <si>
    <t>Lobbying / Lobbying</t>
  </si>
  <si>
    <t>UMR5105</t>
  </si>
  <si>
    <t xml:space="preserve">Etică și integritate academică în științele comunicării/ Ethics and academic integrity in the communication sciences							</t>
  </si>
  <si>
    <t xml:space="preserve">Metode de cercetare în publicitate și relații publice / Metode de cercetare în publicitate și relații publice/ Research methods in advertising and public relations							</t>
  </si>
  <si>
    <t>UMR4206</t>
  </si>
  <si>
    <t xml:space="preserve">Management strategic al sistemelor de comunicare / Strategic management	 of communication systems						</t>
  </si>
  <si>
    <t>UMR5103</t>
  </si>
  <si>
    <t>Publicitate / Advertising</t>
  </si>
  <si>
    <t>UMR4208</t>
  </si>
  <si>
    <t>Psihologie socială și comportamentală / Social and behavioural psichology</t>
  </si>
  <si>
    <t>UMR4104</t>
  </si>
  <si>
    <t>Relații publice sectoriale / Sectorial public relations</t>
  </si>
  <si>
    <t>UMR4210</t>
  </si>
  <si>
    <t>Practică PR 1 / PR practice 1</t>
  </si>
  <si>
    <t>UMX4300</t>
  </si>
  <si>
    <t>Curs opțional 1 / Optional course 1</t>
  </si>
  <si>
    <t>UME4311</t>
  </si>
  <si>
    <t>Strategii de PR organizațional HR / PR Strategies HR</t>
  </si>
  <si>
    <t>UMR4312</t>
  </si>
  <si>
    <t>Marketingul comunicării / The Marketing of Communication</t>
  </si>
  <si>
    <t>UMR4313</t>
  </si>
  <si>
    <t>PR politic / Political PR</t>
  </si>
  <si>
    <t>UMR4314</t>
  </si>
  <si>
    <t>Comunicare, persuasiune, manipulare / Communication, persuation, manipulation</t>
  </si>
  <si>
    <t>UMR4315</t>
  </si>
  <si>
    <t>Practică PR 2 / PR Practice 2</t>
  </si>
  <si>
    <t>UMX4310</t>
  </si>
  <si>
    <t>Curs opțional 2 / Optional course 2</t>
  </si>
  <si>
    <t>UMR4416</t>
  </si>
  <si>
    <t>Tehnici avansate de comunicare / Advanced communication techniques</t>
  </si>
  <si>
    <t>UMR4417</t>
  </si>
  <si>
    <t>Campanii și strategii de PR comercial/servicii / Commercial PR campaigns and strategies</t>
  </si>
  <si>
    <t>UME5420</t>
  </si>
  <si>
    <t>Seminar de cercetare / Research seminar</t>
  </si>
  <si>
    <t>UMR4418</t>
  </si>
  <si>
    <t>Responsabilitate socială corporatistă / Corporate Social Responsibility</t>
  </si>
  <si>
    <t>UMR5322</t>
  </si>
  <si>
    <t>Guvernanță europeană / European governance</t>
  </si>
  <si>
    <t>UMR5323</t>
  </si>
  <si>
    <t>Planificare și strategie / Planning and strategy</t>
  </si>
  <si>
    <t>Opțional nenominalizat (într-o limbă de circulație internațională) / Unnamed optional course (in an foreign language)</t>
  </si>
  <si>
    <t>UMR5317</t>
  </si>
  <si>
    <t>Branding personal și autoevaluare / Personal branding and self-evaluation</t>
  </si>
  <si>
    <t>UMR4316</t>
  </si>
  <si>
    <t>Comunicare publică europeană / European public communication</t>
  </si>
  <si>
    <t>PACHET OPȚIONAL 1 (An I, Semestrul 2)</t>
  </si>
  <si>
    <t>PACHET OPȚIONAL 2 (An II, Semestrul 3)</t>
  </si>
  <si>
    <t>1. Primăria Cluj-Napoca</t>
  </si>
  <si>
    <t xml:space="preserve">2. IAA - YP (International Advertising Association - Young Professionals) </t>
  </si>
  <si>
    <t xml:space="preserve">3. Vitrina Advertising </t>
  </si>
  <si>
    <t>4. Biblioteca Centrală Universitară ”Lucian Blaga” Cluj-Napoca</t>
  </si>
  <si>
    <t>5. TVR Cluj</t>
  </si>
  <si>
    <t>1. Să fie integrate instrumente AI în curricula cursurilor pentru o mai bună înțelegere a fenomenului.</t>
  </si>
  <si>
    <t>2. Să se accentueze rolul sustenabilității în industria publicitară.</t>
  </si>
  <si>
    <t>3. Să fie susținută realizarea portofoliilor profesionale prin proiectele realizate la clasă.</t>
  </si>
  <si>
    <t xml:space="preserve">1. Menținerea parteneriatelor cu actori din industrie pentru a exista transferul de cunoștințe practice din domeniu. </t>
  </si>
  <si>
    <t>2. Realizarea unor prelegeri cu reprezentanți din străinătate.</t>
  </si>
  <si>
    <t>3. Posibilitatea participării la competiții internaționale de profil.</t>
  </si>
  <si>
    <t xml:space="preserve">4. Menținerea dialogului constant cu autoritățile locale/potențialii angajatori pentru a ajusta conținuturi din programă. </t>
  </si>
  <si>
    <t>5. Facilitarea implementării proiectelor de facultate în comunitate.</t>
  </si>
  <si>
    <r>
      <rPr>
        <b/>
        <sz val="10"/>
        <color theme="1"/>
        <rFont val="Times New Roman"/>
        <family val="1"/>
      </rPr>
      <t xml:space="preserve">   114 </t>
    </r>
    <r>
      <rPr>
        <sz val="10"/>
        <color theme="1"/>
        <rFont val="Times New Roman"/>
        <family val="1"/>
      </rPr>
      <t>de credite la disciplinele obligatorii;</t>
    </r>
  </si>
  <si>
    <r>
      <t xml:space="preserve">   </t>
    </r>
    <r>
      <rPr>
        <b/>
        <sz val="10"/>
        <color theme="1"/>
        <rFont val="Times New Roman"/>
        <family val="1"/>
      </rPr>
      <t xml:space="preserve">6 </t>
    </r>
    <r>
      <rPr>
        <sz val="10"/>
        <color theme="1"/>
        <rFont val="Times New Roman"/>
        <family val="1"/>
      </rPr>
      <t>credite la disciplinele opţionale;</t>
    </r>
  </si>
  <si>
    <r>
      <t xml:space="preserve">Domeniul: </t>
    </r>
    <r>
      <rPr>
        <b/>
        <sz val="10"/>
        <color rgb="FF000000"/>
        <rFont val="Times New Roman"/>
        <family val="1"/>
        <charset val="238"/>
      </rPr>
      <t>Științe ale Comunicării</t>
    </r>
  </si>
  <si>
    <r>
      <t xml:space="preserve">Limba de predare: </t>
    </r>
    <r>
      <rPr>
        <b/>
        <sz val="10"/>
        <color rgb="FF000000"/>
        <rFont val="Times New Roman"/>
        <family val="1"/>
        <charset val="238"/>
      </rPr>
      <t>română</t>
    </r>
  </si>
  <si>
    <r>
      <rPr>
        <b/>
        <sz val="10"/>
        <color indexed="8"/>
        <rFont val="Times New Roman"/>
        <family val="1"/>
      </rPr>
      <t xml:space="preserve">VI. UNIVERSITĂŢI DE REFERINŢĂ DIN TOP 500: </t>
    </r>
    <r>
      <rPr>
        <sz val="10"/>
        <color rgb="FF000000"/>
        <rFont val="Times New Roman"/>
        <family val="1"/>
      </rPr>
      <t>VU University Amsterdam, University of Applied Science and Arts (Fachhochschule Hannover-Informations-und Kommunikationswesen-Public Relations), Ludwig-Maximilian Universitaet Munchen, University of Georgia, University of New York</t>
    </r>
  </si>
  <si>
    <r>
      <t>COMPETENȚE PROFESIONALE/ESENȚIALE:</t>
    </r>
    <r>
      <rPr>
        <sz val="10"/>
        <color rgb="FF000000"/>
        <rFont val="Times New Roman"/>
        <family val="1"/>
      </rPr>
      <t xml:space="preserve">
</t>
    </r>
    <r>
      <rPr>
        <b/>
        <sz val="10"/>
        <color rgb="FF000000"/>
        <rFont val="Times New Roman"/>
        <family val="1"/>
      </rPr>
      <t>C1. Înțelegerea și utilizarea avansată a limbajului, metodologiilor și cunoștințelor de specialitate din domeniul științelor comunicării (nivel avansat)</t>
    </r>
    <r>
      <rPr>
        <sz val="10"/>
        <color rgb="FF000000"/>
        <rFont val="Times New Roman"/>
        <family val="1"/>
      </rPr>
      <t xml:space="preserve">
Absolventul va:  
• cunoaște metode de cercetare sistematice pentru identificarea de informații specifice și evalua relevanța informației;
• cunoaște legislația privind drepturile de autor, legislația privind comunicarea publică și privată pe platformele digitale;
• cunoaște principiile deontologice și normele etice specifice aplicabile în contextul comunicării publice și respectării unor standarde de comunicare.
</t>
    </r>
    <r>
      <rPr>
        <b/>
        <sz val="10"/>
        <color rgb="FF000000"/>
        <rFont val="Times New Roman"/>
        <family val="1"/>
      </rPr>
      <t>C2. Utilizarea avansată a noilor tehnologii de informare și comunicare (NTIC) (nivel avansat)</t>
    </r>
    <r>
      <rPr>
        <sz val="10"/>
        <color rgb="FF000000"/>
        <rFont val="Times New Roman"/>
        <family val="1"/>
      </rPr>
      <t xml:space="preserve">
Absolventul va:
• cunoaște caracteristicile, modalitatea de utilizare și operare a diferitelor platforme online;
• cunoaște procesul prin care învățarea, eficiența, utilitatea și ușurința de utilizare a unei platforme online poate fi definită și măsurată;
• cunoaște limbajele utilizate în contextul comunicării digitale - și limbajele de specialitate în contextul utilizării rețelelor sociale.
</t>
    </r>
    <r>
      <rPr>
        <b/>
        <sz val="10"/>
        <color rgb="FF000000"/>
        <rFont val="Times New Roman"/>
        <family val="1"/>
      </rPr>
      <t>C3. Adaptarea strategiilor comunicaționale la tipurile diferite de audiență / public implicate în comunicare (nivel avansat)</t>
    </r>
    <r>
      <rPr>
        <sz val="10"/>
        <color rgb="FF000000"/>
        <rFont val="Times New Roman"/>
        <family val="1"/>
      </rPr>
      <t xml:space="preserve">
Absolventul va:
• înțelege segmentarea publicului/audienței și va putea identifica diferite publicuri țintă în contextul unor proiecte de comunicare specifice; 
• distinge între diferite strategii publicitare în funcție de situații de comunicare digitală diferite și categorii/segmente de public/utilizatori;
• cunoaște procese mentale precum atenția, memoria, limbajul, percepția, soluționarea problemelor, creativitate și gândirea.
</t>
    </r>
    <r>
      <rPr>
        <b/>
        <sz val="10"/>
        <color rgb="FF000000"/>
        <rFont val="Times New Roman"/>
        <family val="1"/>
      </rPr>
      <t>C4. Managementul echipelor creative din publicitate</t>
    </r>
    <r>
      <rPr>
        <sz val="10"/>
        <color rgb="FF000000"/>
        <rFont val="Times New Roman"/>
        <family val="1"/>
      </rPr>
      <t xml:space="preserve">
Absolventul va:
• administra echipa responsabilă de crearea de reclame și spoturi publicitare; 
• supraveghea întregul proces creativ și implementarea conceptelor creative pe baza strategiei; 
• prezenta clientului ideile și modelele elaborate de echipa sa
</t>
    </r>
  </si>
  <si>
    <r>
      <t xml:space="preserve">PROFESSIONAL COMPETENCES:
C1. In-depth understanding and use of specialized terminology, methodologies, and knowledge from the field of communication sciences (advanced level)
</t>
    </r>
    <r>
      <rPr>
        <sz val="10"/>
        <color rgb="FF000000"/>
        <rFont val="Times New Roman"/>
        <family val="1"/>
      </rPr>
      <t xml:space="preserve">The graduate will:
• know how to apply systematic research methods to identify specific information and assess the relevance of information;
• know the copyright law, the law on public and private communication on digital platforms;
• know the deontological principles and specific ethical norms applicable in the context of public communication and compliance with communicational standards.
</t>
    </r>
    <r>
      <rPr>
        <b/>
        <sz val="10"/>
        <color rgb="FF000000"/>
        <rFont val="Times New Roman"/>
        <family val="1"/>
      </rPr>
      <t>C2. Advanced use of new information and communication technologies (IT&amp;C) (advanced level)</t>
    </r>
    <r>
      <rPr>
        <sz val="10"/>
        <color rgb="FF000000"/>
        <rFont val="Times New Roman"/>
        <family val="1"/>
      </rPr>
      <t xml:space="preserve">
The graduate will:
• know the features, how to use and operate different online platforms;
• know the process by which the learning, efficiency, usefulness, and ease of use of an online platform can be defined and measured;
• know the languages used in the context of digital communication - and specialized languages in the context of using social networks.
</t>
    </r>
    <r>
      <rPr>
        <b/>
        <sz val="10"/>
        <color rgb="FF000000"/>
        <rFont val="Times New Roman"/>
        <family val="1"/>
      </rPr>
      <t>C3. Adapting communication strategies to different types of audiences involved in communication (advanced level)</t>
    </r>
    <r>
      <rPr>
        <sz val="10"/>
        <color rgb="FF000000"/>
        <rFont val="Times New Roman"/>
        <family val="1"/>
      </rPr>
      <t xml:space="preserve">
The graduate will:
• understand target group / audience segmentation and will be able to identify different target audiences in the context of specific communication projects;
• distinguish between different advertising strategies depending on different digital communication situations and categories / segments of audience / users;
• know mental processes such as attention, memory, language, perception, problem solving, creativity, and thinking.
</t>
    </r>
    <r>
      <rPr>
        <b/>
        <sz val="10"/>
        <color rgb="FF000000"/>
        <rFont val="Times New Roman"/>
        <family val="1"/>
      </rPr>
      <t>C4. Creative teams management in advertising</t>
    </r>
    <r>
      <rPr>
        <sz val="10"/>
        <color rgb="FF000000"/>
        <rFont val="Times New Roman"/>
        <family val="1"/>
      </rPr>
      <t xml:space="preserve">
The graduate will:
• manage the team responsible for creating ads and commercials;
• oversee the entire creative process and the implementation of creative concepts based on strategy;
• present to the client the ideas and models developed by his team.</t>
    </r>
  </si>
  <si>
    <r>
      <rPr>
        <b/>
        <sz val="10"/>
        <color rgb="FF000000"/>
        <rFont val="Times New Roman"/>
        <family val="1"/>
        <charset val="238"/>
      </rPr>
      <t>C5. Analiza și planificarea modului în care un brand este poziționat pe piață</t>
    </r>
    <r>
      <rPr>
        <sz val="10"/>
        <color rgb="FF000000"/>
        <rFont val="Times New Roman"/>
        <family val="1"/>
        <charset val="238"/>
      </rPr>
      <t xml:space="preserve">
Absolventul va:
• cunoaște marketingul canalelor de distribuție; 
• cunoaște politicile companiei;
• cunoaște și înțelege strategiile de comunicare cu clienții și potențialii clienți.
</t>
    </r>
    <r>
      <rPr>
        <b/>
        <sz val="10"/>
        <color rgb="FF000000"/>
        <rFont val="Times New Roman"/>
        <family val="1"/>
        <charset val="238"/>
      </rPr>
      <t>C6. Dezvoltarea și implementarea media a campaniilor publicitare</t>
    </r>
    <r>
      <rPr>
        <sz val="10"/>
        <color rgb="FF000000"/>
        <rFont val="Times New Roman"/>
        <family val="1"/>
        <charset val="238"/>
      </rPr>
      <t xml:space="preserve">
Absolventul va:
• ști cum să achiziționeze, în numele clienților, spațiu publicitar atât în media tradițională, cât și în cea digitală; 
• analiza eficacitatea și caracterul adecvat al diferitelor canale în funcție de produsul sau serviciul care urmează să fie promovat; 
• ști cum să pună în aplicare planuri de publicitate prin cel mai adecvat mijloc de comunicare.</t>
    </r>
  </si>
  <si>
    <r>
      <rPr>
        <b/>
        <sz val="10"/>
        <color rgb="FF000000"/>
        <rFont val="Times New Roman"/>
        <family val="1"/>
        <charset val="238"/>
      </rPr>
      <t>C5. Analysing and planning how a brand is positioned on the market</t>
    </r>
    <r>
      <rPr>
        <sz val="10"/>
        <color rgb="FF000000"/>
        <rFont val="Times New Roman"/>
        <family val="1"/>
        <charset val="238"/>
      </rPr>
      <t xml:space="preserve">
The graduate will:
• know the marketing of distribution channels;
• know company policies;
• know and understand communication strategies with customers and potential customers.
</t>
    </r>
    <r>
      <rPr>
        <b/>
        <sz val="10"/>
        <color rgb="FF000000"/>
        <rFont val="Times New Roman"/>
        <family val="1"/>
        <charset val="238"/>
      </rPr>
      <t>C6. Developing and media implementation of advertising campaigns</t>
    </r>
    <r>
      <rPr>
        <sz val="10"/>
        <color rgb="FF000000"/>
        <rFont val="Times New Roman"/>
        <family val="1"/>
        <charset val="238"/>
      </rPr>
      <t xml:space="preserve">
The graduate will:
• purchase both traditional and online advertising space on behalf of clients;
• analyze the effectiveness and adequacy of different channels depending on the product or service;
• will be able to implement advertising plans through the most appropriate means of mass communication.</t>
    </r>
  </si>
  <si>
    <t>Am adăugat felul disciplinei și forma de evaluare.</t>
  </si>
  <si>
    <t>Am corectat formulele.</t>
  </si>
  <si>
    <t xml:space="preserve">DISCIPLINE FACULTATIVE TRANSVERSALE </t>
  </si>
  <si>
    <t>Am adăugat felul disciplinelor.</t>
  </si>
  <si>
    <t>Am șters o disciplină DC de aici.</t>
  </si>
  <si>
    <t>Am adăugat disciplina.</t>
  </si>
  <si>
    <t>Am șters un opțional introdus greșit.</t>
  </si>
  <si>
    <t>Am introdus disciplina în semestrul corect și am introdus formulele.</t>
  </si>
  <si>
    <r>
      <t>Programul de studii:</t>
    </r>
    <r>
      <rPr>
        <b/>
        <sz val="11"/>
        <color theme="1"/>
        <rFont val="Calibri"/>
        <family val="2"/>
        <charset val="238"/>
        <scheme val="minor"/>
      </rPr>
      <t xml:space="preserve"> RELAȚII PUBLICE / PUBLIC RELATIONS</t>
    </r>
  </si>
  <si>
    <t>Am pus formulă la practică.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</si>
</sst>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sz val="10"/>
      <color theme="1"/>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i/>
      <sz val="9"/>
      <color indexed="10"/>
      <name val="Tahoma"/>
      <family val="2"/>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b/>
      <sz val="11"/>
      <color theme="1"/>
      <name val="Calibri"/>
      <family val="2"/>
      <charset val="238"/>
      <scheme val="minor"/>
    </font>
    <font>
      <sz val="10"/>
      <name val="Times New Roman"/>
      <family val="1"/>
      <charset val="238"/>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name val="Times New Roman"/>
      <family val="1"/>
    </font>
    <font>
      <b/>
      <sz val="10"/>
      <color theme="1"/>
      <name val="Times New Roman"/>
      <family val="1"/>
      <charset val="238"/>
    </font>
    <font>
      <b/>
      <i/>
      <sz val="10"/>
      <color rgb="FFFF0000"/>
      <name val="Times New Roman"/>
      <family val="1"/>
      <charset val="238"/>
    </font>
    <font>
      <u/>
      <sz val="11"/>
      <color theme="10"/>
      <name val="Calibri"/>
      <family val="2"/>
      <charset val="238"/>
      <scheme val="minor"/>
    </font>
    <font>
      <sz val="10"/>
      <color rgb="FFFF0000"/>
      <name val="Times New Roman"/>
      <family val="1"/>
    </font>
    <font>
      <u/>
      <sz val="10"/>
      <color theme="10"/>
      <name val="Times New Roman"/>
      <family val="1"/>
      <charset val="238"/>
    </font>
    <font>
      <b/>
      <i/>
      <sz val="10"/>
      <color rgb="FF000000"/>
      <name val="Times New Roman"/>
      <family val="1"/>
      <charset val="238"/>
    </font>
    <font>
      <b/>
      <sz val="9"/>
      <color rgb="FF000000"/>
      <name val="Tahoma"/>
      <family val="2"/>
      <charset val="238"/>
    </font>
    <font>
      <sz val="9"/>
      <color rgb="FFFF0000"/>
      <name val="Tahoma"/>
      <family val="2"/>
      <charset val="238"/>
    </font>
    <font>
      <sz val="9"/>
      <color rgb="FF000000"/>
      <name val="Tahoma"/>
      <family val="2"/>
      <charset val="238"/>
    </font>
    <font>
      <b/>
      <sz val="9"/>
      <color rgb="FF000000"/>
      <name val="Segoe UI"/>
      <family val="2"/>
      <charset val="238"/>
    </font>
    <font>
      <sz val="9"/>
      <color rgb="FF000000"/>
      <name val="Segoe UI"/>
      <family val="2"/>
      <charset val="238"/>
    </font>
    <font>
      <b/>
      <sz val="9"/>
      <color rgb="FFFF0000"/>
      <name val="Tahoma"/>
      <family val="2"/>
      <charset val="238"/>
    </font>
    <font>
      <sz val="10"/>
      <color rgb="FF000000"/>
      <name val="Times New Roman"/>
      <family val="1"/>
    </font>
    <font>
      <b/>
      <sz val="10"/>
      <color rgb="FF000000"/>
      <name val="Times New Roman"/>
      <family val="1"/>
    </font>
    <font>
      <b/>
      <sz val="10"/>
      <color theme="1"/>
      <name val="Times New Roman"/>
      <family val="1"/>
    </font>
    <font>
      <sz val="8"/>
      <color rgb="FF000000"/>
      <name val="Segoe UI"/>
      <family val="2"/>
      <charset val="238"/>
    </font>
    <font>
      <b/>
      <sz val="10"/>
      <color rgb="FFFF0000"/>
      <name val="Times New Roman"/>
      <family val="1"/>
    </font>
    <font>
      <sz val="10"/>
      <color rgb="FFFF0000"/>
      <name val="Times New Roman"/>
      <family val="1"/>
      <charset val="23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7" fillId="0" borderId="0" applyNumberFormat="0" applyFill="0" applyBorder="0" applyAlignment="0" applyProtection="0"/>
  </cellStyleXfs>
  <cellXfs count="379">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1" fontId="1" fillId="4" borderId="1"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0" xfId="0" applyFont="1" applyAlignment="1">
      <alignment horizontal="center" vertical="center"/>
    </xf>
    <xf numFmtId="0" fontId="1" fillId="0" borderId="0" xfId="0" applyFont="1" applyAlignment="1" applyProtection="1">
      <alignment vertical="top"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0" fillId="0" borderId="0" xfId="0" applyAlignment="1">
      <alignment horizontal="center" vertical="center" wrapText="1"/>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10" fontId="2" fillId="0" borderId="0" xfId="0" applyNumberFormat="1" applyFon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pplyProtection="1">
      <alignment horizontal="justify" vertical="center"/>
      <protection locked="0"/>
    </xf>
    <xf numFmtId="0" fontId="7" fillId="0" borderId="0" xfId="0" applyFont="1" applyAlignment="1" applyProtection="1">
      <alignment vertical="center"/>
      <protection locked="0"/>
    </xf>
    <xf numFmtId="1" fontId="2" fillId="4" borderId="1" xfId="0" applyNumberFormat="1" applyFont="1" applyFill="1" applyBorder="1" applyAlignment="1">
      <alignment horizontal="center" vertical="center" wrapText="1"/>
    </xf>
    <xf numFmtId="1" fontId="1"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5" fillId="0" borderId="0" xfId="0" applyFont="1" applyAlignment="1" applyProtection="1">
      <alignment vertical="center"/>
      <protection locked="0"/>
    </xf>
    <xf numFmtId="1" fontId="1" fillId="4" borderId="1" xfId="0" applyNumberFormat="1" applyFont="1" applyFill="1" applyBorder="1" applyAlignment="1">
      <alignment horizontal="center" vertical="center" wrapText="1"/>
    </xf>
    <xf numFmtId="1" fontId="24" fillId="4" borderId="1" xfId="0" applyNumberFormat="1" applyFont="1" applyFill="1" applyBorder="1" applyAlignment="1">
      <alignment horizontal="center" vertical="center" wrapText="1"/>
    </xf>
    <xf numFmtId="0" fontId="2" fillId="4" borderId="1" xfId="0" applyFont="1" applyFill="1" applyBorder="1" applyAlignment="1" applyProtection="1">
      <alignment vertical="center" wrapText="1"/>
      <protection locked="0"/>
    </xf>
    <xf numFmtId="0" fontId="6" fillId="0" borderId="1" xfId="0" applyFont="1" applyBorder="1" applyAlignment="1">
      <alignment vertical="center" wrapText="1"/>
    </xf>
    <xf numFmtId="0" fontId="2" fillId="0" borderId="0" xfId="0" applyFont="1" applyAlignment="1" applyProtection="1">
      <alignment vertical="center"/>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1" fontId="1" fillId="0" borderId="1" xfId="0" applyNumberFormat="1" applyFont="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wrapText="1"/>
      <protection locked="0"/>
    </xf>
    <xf numFmtId="2" fontId="1" fillId="3" borderId="1" xfId="0" applyNumberFormat="1" applyFont="1" applyFill="1" applyBorder="1" applyAlignment="1" applyProtection="1">
      <alignment horizontal="center" vertical="center" wrapText="1"/>
      <protection locked="0"/>
    </xf>
    <xf numFmtId="0" fontId="1" fillId="3" borderId="1" xfId="0" applyFont="1" applyFill="1" applyBorder="1" applyAlignment="1" applyProtection="1">
      <alignment horizontal="left" vertical="center" wrapText="1"/>
      <protection locked="0"/>
    </xf>
    <xf numFmtId="1" fontId="1" fillId="3" borderId="1" xfId="0" applyNumberFormat="1" applyFont="1" applyFill="1" applyBorder="1" applyAlignment="1" applyProtection="1">
      <alignment horizontal="left" vertical="center" wrapText="1"/>
      <protection locked="0"/>
    </xf>
    <xf numFmtId="1" fontId="7" fillId="3" borderId="1" xfId="0" applyNumberFormat="1" applyFont="1" applyFill="1" applyBorder="1" applyAlignment="1" applyProtection="1">
      <alignment horizontal="left" vertical="center" wrapText="1"/>
      <protection locked="0"/>
    </xf>
    <xf numFmtId="1" fontId="7" fillId="3" borderId="1" xfId="0" applyNumberFormat="1" applyFont="1" applyFill="1" applyBorder="1" applyAlignment="1" applyProtection="1">
      <alignment horizontal="center" vertical="center" wrapText="1"/>
      <protection locked="0"/>
    </xf>
    <xf numFmtId="1" fontId="7" fillId="3" borderId="1" xfId="0" applyNumberFormat="1" applyFont="1" applyFill="1" applyBorder="1" applyAlignment="1" applyProtection="1">
      <alignment horizontal="left" vertical="center"/>
      <protection locked="0"/>
    </xf>
    <xf numFmtId="1" fontId="7" fillId="3" borderId="1" xfId="0" applyNumberFormat="1"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14" fillId="7" borderId="0" xfId="0" applyFont="1" applyFill="1" applyAlignment="1" applyProtection="1">
      <alignment vertical="center"/>
      <protection locked="0"/>
    </xf>
    <xf numFmtId="0" fontId="14" fillId="7" borderId="0" xfId="0" applyFont="1" applyFill="1" applyAlignment="1" applyProtection="1">
      <alignment vertical="center" wrapText="1"/>
      <protection locked="0"/>
    </xf>
    <xf numFmtId="2" fontId="28" fillId="3" borderId="1" xfId="0" applyNumberFormat="1" applyFont="1" applyFill="1" applyBorder="1" applyAlignment="1" applyProtection="1">
      <alignment horizontal="center" vertical="center"/>
      <protection locked="0"/>
    </xf>
    <xf numFmtId="0" fontId="1" fillId="7" borderId="0" xfId="0" applyFont="1" applyFill="1" applyAlignment="1" applyProtection="1">
      <alignment vertical="top" wrapText="1"/>
      <protection locked="0"/>
    </xf>
    <xf numFmtId="1" fontId="41" fillId="0" borderId="1" xfId="0" applyNumberFormat="1" applyFont="1" applyBorder="1" applyAlignment="1">
      <alignment horizontal="center" vertical="center"/>
    </xf>
    <xf numFmtId="1" fontId="41" fillId="0" borderId="1" xfId="0" applyNumberFormat="1" applyFont="1" applyBorder="1" applyAlignment="1" applyProtection="1">
      <alignment horizontal="center" vertical="center"/>
      <protection locked="0"/>
    </xf>
    <xf numFmtId="0" fontId="14" fillId="7" borderId="0" xfId="0" applyFont="1" applyFill="1" applyAlignment="1" applyProtection="1">
      <alignment horizontal="left" vertical="center"/>
      <protection locked="0"/>
    </xf>
    <xf numFmtId="0" fontId="14" fillId="7" borderId="0" xfId="0" applyFont="1" applyFill="1" applyAlignment="1" applyProtection="1">
      <alignment horizontal="left" vertical="center" wrapText="1"/>
      <protection locked="0"/>
    </xf>
    <xf numFmtId="0" fontId="28" fillId="3" borderId="1" xfId="0" applyFont="1" applyFill="1" applyBorder="1" applyAlignment="1" applyProtection="1">
      <alignment horizontal="center" vertical="center" wrapText="1"/>
      <protection locked="0"/>
    </xf>
    <xf numFmtId="0" fontId="14" fillId="7" borderId="0" xfId="0" applyFont="1" applyFill="1" applyAlignment="1">
      <alignment horizontal="left" vertical="center"/>
    </xf>
    <xf numFmtId="0" fontId="14" fillId="7" borderId="0" xfId="0" applyFont="1" applyFill="1" applyAlignment="1">
      <alignment horizontal="center" vertical="center" wrapText="1"/>
    </xf>
    <xf numFmtId="0" fontId="28" fillId="0" borderId="1" xfId="0" applyFont="1" applyBorder="1" applyAlignment="1">
      <alignment horizontal="left" vertical="center"/>
    </xf>
    <xf numFmtId="1" fontId="28" fillId="0" borderId="1" xfId="0" applyNumberFormat="1" applyFont="1" applyBorder="1" applyAlignment="1">
      <alignment horizontal="center" vertical="center"/>
    </xf>
    <xf numFmtId="164" fontId="28" fillId="0" borderId="1" xfId="0" applyNumberFormat="1" applyFont="1" applyBorder="1" applyAlignment="1">
      <alignment horizontal="center" vertical="center"/>
    </xf>
    <xf numFmtId="1" fontId="1" fillId="0" borderId="0" xfId="0" applyNumberFormat="1" applyFont="1" applyProtection="1">
      <protection locked="0"/>
    </xf>
    <xf numFmtId="0" fontId="41" fillId="0" borderId="1" xfId="0" applyFont="1" applyBorder="1" applyAlignment="1">
      <alignment horizontal="center" vertical="center"/>
    </xf>
    <xf numFmtId="0" fontId="28" fillId="0" borderId="1" xfId="0" applyFont="1" applyBorder="1" applyAlignment="1">
      <alignment horizontal="center" vertical="center"/>
    </xf>
    <xf numFmtId="0" fontId="28" fillId="7" borderId="0" xfId="0" applyFont="1" applyFill="1" applyAlignment="1" applyProtection="1">
      <alignment horizontal="left" vertical="center" wrapText="1"/>
      <protection locked="0"/>
    </xf>
    <xf numFmtId="0" fontId="29" fillId="0" borderId="0" xfId="1" applyFont="1" applyBorder="1" applyAlignment="1" applyProtection="1">
      <alignment horizontal="left" vertical="center"/>
      <protection locked="0"/>
    </xf>
    <xf numFmtId="0" fontId="1" fillId="7" borderId="0" xfId="0" applyFont="1" applyFill="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25" fillId="0" borderId="0" xfId="0" applyFont="1" applyAlignment="1">
      <alignment horizontal="center" vertical="center"/>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38" fillId="0" borderId="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1" fillId="0" borderId="0" xfId="0" applyFont="1" applyAlignment="1" applyProtection="1">
      <alignment vertical="center"/>
      <protection locked="0"/>
    </xf>
    <xf numFmtId="0" fontId="1" fillId="0" borderId="0" xfId="0" applyFont="1" applyAlignment="1" applyProtection="1">
      <alignment horizontal="justify"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15"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7" fillId="0" borderId="1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2" fillId="0" borderId="7" xfId="0"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0" xfId="0" applyFont="1" applyAlignment="1">
      <alignment vertical="center" wrapText="1"/>
    </xf>
    <xf numFmtId="0" fontId="1" fillId="2" borderId="1" xfId="0"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1" fontId="2" fillId="4" borderId="1" xfId="0" applyNumberFormat="1" applyFont="1" applyFill="1" applyBorder="1" applyAlignment="1">
      <alignment horizontal="center" vertical="center" wrapText="1"/>
    </xf>
    <xf numFmtId="0" fontId="6" fillId="0" borderId="0" xfId="0" applyFont="1" applyAlignment="1">
      <alignment wrapText="1"/>
    </xf>
    <xf numFmtId="0" fontId="2" fillId="0" borderId="0" xfId="0" applyFont="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0" fontId="12" fillId="4" borderId="2" xfId="0" applyNumberFormat="1" applyFont="1" applyFill="1" applyBorder="1" applyAlignment="1">
      <alignment horizontal="center" vertical="center" wrapText="1"/>
    </xf>
    <xf numFmtId="10" fontId="12" fillId="4" borderId="5" xfId="0" applyNumberFormat="1" applyFont="1" applyFill="1" applyBorder="1" applyAlignment="1">
      <alignment horizontal="center" vertical="center" wrapText="1"/>
    </xf>
    <xf numFmtId="10" fontId="12" fillId="4" borderId="6" xfId="0" applyNumberFormat="1" applyFont="1" applyFill="1" applyBorder="1" applyAlignment="1">
      <alignment horizontal="center" vertical="center" wrapText="1"/>
    </xf>
    <xf numFmtId="0" fontId="2" fillId="0" borderId="0" xfId="0" applyFont="1" applyAlignment="1">
      <alignment horizontal="left" vertical="center" wrapText="1"/>
    </xf>
    <xf numFmtId="1"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1" fontId="12" fillId="4" borderId="2" xfId="0" applyNumberFormat="1" applyFont="1" applyFill="1" applyBorder="1" applyAlignment="1">
      <alignment horizontal="center" vertical="center" wrapText="1"/>
    </xf>
    <xf numFmtId="0" fontId="12" fillId="4" borderId="6" xfId="0" applyFont="1" applyFill="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4" borderId="5" xfId="0" applyNumberFormat="1" applyFont="1" applyFill="1" applyBorder="1" applyAlignment="1" applyProtection="1">
      <alignment horizontal="center" vertical="center" wrapText="1"/>
      <protection locked="0"/>
    </xf>
    <xf numFmtId="1" fontId="2" fillId="4" borderId="6" xfId="0" applyNumberFormat="1"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2" fontId="1"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1" fillId="6" borderId="14" xfId="0" applyFont="1" applyFill="1" applyBorder="1" applyAlignment="1">
      <alignment vertical="center" wrapText="1"/>
    </xf>
    <xf numFmtId="0" fontId="1" fillId="6" borderId="0" xfId="0" applyFont="1" applyFill="1" applyAlignment="1">
      <alignment vertical="center" wrapText="1"/>
    </xf>
    <xf numFmtId="0" fontId="2" fillId="5" borderId="0" xfId="0" applyFont="1" applyFill="1" applyAlignment="1" applyProtection="1">
      <alignment horizontal="left" vertical="center" wrapText="1"/>
      <protection locked="0"/>
    </xf>
    <xf numFmtId="10" fontId="2"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1" fontId="1" fillId="3" borderId="2" xfId="0" applyNumberFormat="1" applyFont="1" applyFill="1" applyBorder="1" applyAlignment="1" applyProtection="1">
      <alignment horizontal="left" vertical="center" wrapText="1"/>
      <protection locked="0"/>
    </xf>
    <xf numFmtId="1" fontId="1" fillId="3" borderId="5" xfId="0" applyNumberFormat="1" applyFont="1" applyFill="1" applyBorder="1" applyAlignment="1" applyProtection="1">
      <alignment horizontal="left" vertical="center" wrapText="1"/>
      <protection locked="0"/>
    </xf>
    <xf numFmtId="1" fontId="1" fillId="3" borderId="6" xfId="0" applyNumberFormat="1" applyFont="1" applyFill="1" applyBorder="1" applyAlignment="1" applyProtection="1">
      <alignment horizontal="left" vertical="center" wrapText="1"/>
      <protection locked="0"/>
    </xf>
    <xf numFmtId="1" fontId="7" fillId="3" borderId="2" xfId="0" applyNumberFormat="1" applyFont="1" applyFill="1" applyBorder="1" applyAlignment="1" applyProtection="1">
      <alignment horizontal="left" vertical="center"/>
      <protection locked="0"/>
    </xf>
    <xf numFmtId="1" fontId="7" fillId="3" borderId="5" xfId="0" applyNumberFormat="1" applyFont="1" applyFill="1" applyBorder="1" applyAlignment="1" applyProtection="1">
      <alignment horizontal="left" vertical="center"/>
      <protection locked="0"/>
    </xf>
    <xf numFmtId="1" fontId="7" fillId="3" borderId="6" xfId="0" applyNumberFormat="1" applyFont="1" applyFill="1" applyBorder="1" applyAlignment="1" applyProtection="1">
      <alignment horizontal="left" vertical="center"/>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12" fillId="0" borderId="4" xfId="0" applyFont="1" applyBorder="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1" fontId="1" fillId="3" borderId="1" xfId="0" applyNumberFormat="1" applyFont="1" applyFill="1" applyBorder="1" applyAlignment="1" applyProtection="1">
      <alignment horizontal="left" vertical="center"/>
      <protection locked="0"/>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10" fontId="2" fillId="0" borderId="1" xfId="0" applyNumberFormat="1" applyFont="1" applyBorder="1" applyAlignment="1" applyProtection="1">
      <alignment horizontal="left" vertical="center"/>
      <protection locked="0"/>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 fillId="0" borderId="0" xfId="0" applyFont="1" applyAlignment="1" applyProtection="1">
      <alignment horizontal="justify" vertical="top" wrapText="1"/>
      <protection locked="0"/>
    </xf>
    <xf numFmtId="0" fontId="38" fillId="0" borderId="9"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0"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5"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38" fillId="0" borderId="8" xfId="0" applyFont="1" applyBorder="1" applyAlignment="1" applyProtection="1">
      <alignment horizontal="left" vertical="top" wrapText="1"/>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7" fillId="0" borderId="1" xfId="0" applyFont="1" applyBorder="1" applyAlignment="1">
      <alignment horizontal="left" vertical="center" wrapText="1"/>
    </xf>
    <xf numFmtId="1" fontId="7" fillId="3" borderId="2" xfId="0" applyNumberFormat="1" applyFont="1" applyFill="1" applyBorder="1" applyAlignment="1" applyProtection="1">
      <alignment horizontal="left" vertical="center" wrapText="1"/>
      <protection locked="0"/>
    </xf>
    <xf numFmtId="1" fontId="7" fillId="3" borderId="5" xfId="0" applyNumberFormat="1" applyFont="1" applyFill="1" applyBorder="1" applyAlignment="1" applyProtection="1">
      <alignment horizontal="left" vertical="center" wrapText="1"/>
      <protection locked="0"/>
    </xf>
    <xf numFmtId="1" fontId="7" fillId="3" borderId="6" xfId="0" applyNumberFormat="1" applyFont="1" applyFill="1" applyBorder="1" applyAlignment="1" applyProtection="1">
      <alignment horizontal="left" vertical="center" wrapText="1"/>
      <protection locked="0"/>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0" fontId="1" fillId="0" borderId="14" xfId="0" applyFont="1" applyBorder="1" applyProtection="1">
      <protection locked="0"/>
    </xf>
    <xf numFmtId="0" fontId="1" fillId="0" borderId="0" xfId="0" applyFont="1" applyProtection="1">
      <protection locked="0"/>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2" fontId="1" fillId="0" borderId="1" xfId="0" applyNumberFormat="1" applyFont="1" applyBorder="1" applyAlignment="1">
      <alignment horizontal="center" vertical="center" wrapText="1"/>
    </xf>
    <xf numFmtId="1" fontId="2" fillId="0" borderId="2" xfId="0" applyNumberFormat="1"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1" fontId="2" fillId="0" borderId="6" xfId="0" applyNumberFormat="1" applyFont="1" applyBorder="1" applyAlignment="1" applyProtection="1">
      <alignment horizontal="center" vertical="center" wrapText="1"/>
      <protection locked="0"/>
    </xf>
    <xf numFmtId="1" fontId="1" fillId="4" borderId="2" xfId="0" applyNumberFormat="1" applyFont="1" applyFill="1" applyBorder="1" applyAlignment="1" applyProtection="1">
      <alignment horizontal="left" vertical="center" wrapText="1"/>
      <protection locked="0"/>
    </xf>
    <xf numFmtId="1" fontId="1" fillId="4" borderId="5" xfId="0" applyNumberFormat="1" applyFont="1" applyFill="1" applyBorder="1" applyAlignment="1" applyProtection="1">
      <alignment horizontal="left" vertical="center" wrapText="1"/>
      <protection locked="0"/>
    </xf>
    <xf numFmtId="1" fontId="1" fillId="4" borderId="6"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1" fontId="1" fillId="4" borderId="2" xfId="0" applyNumberFormat="1" applyFont="1" applyFill="1" applyBorder="1" applyAlignment="1" applyProtection="1">
      <alignment horizontal="left" vertical="justify" wrapText="1"/>
      <protection locked="0"/>
    </xf>
    <xf numFmtId="1" fontId="1" fillId="4" borderId="5" xfId="0" applyNumberFormat="1" applyFont="1" applyFill="1" applyBorder="1" applyAlignment="1" applyProtection="1">
      <alignment horizontal="left" vertical="justify" wrapText="1"/>
      <protection locked="0"/>
    </xf>
    <xf numFmtId="1" fontId="1" fillId="4" borderId="6" xfId="0" applyNumberFormat="1" applyFont="1" applyFill="1" applyBorder="1" applyAlignment="1" applyProtection="1">
      <alignment horizontal="left" vertical="justify" wrapText="1"/>
      <protection locked="0"/>
    </xf>
    <xf numFmtId="2" fontId="1" fillId="4" borderId="1" xfId="0" applyNumberFormat="1" applyFont="1" applyFill="1" applyBorder="1" applyAlignment="1">
      <alignment horizontal="center" vertical="center" wrapText="1"/>
    </xf>
    <xf numFmtId="1" fontId="1" fillId="4" borderId="1" xfId="0" applyNumberFormat="1" applyFont="1" applyFill="1" applyBorder="1" applyAlignment="1" applyProtection="1">
      <alignment horizontal="left" vertical="center" wrapText="1"/>
      <protection locked="0"/>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2" fillId="0" borderId="5" xfId="0" applyFont="1" applyBorder="1" applyAlignment="1">
      <alignment horizontal="center" vertical="center" wrapText="1"/>
    </xf>
    <xf numFmtId="0" fontId="2" fillId="0" borderId="7" xfId="0" applyFont="1" applyBorder="1" applyAlignment="1" applyProtection="1">
      <alignment horizontal="left"/>
      <protection locked="0"/>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0" fontId="1" fillId="2" borderId="2"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10" fontId="41" fillId="0" borderId="1" xfId="0" applyNumberFormat="1" applyFont="1" applyBorder="1" applyAlignment="1" applyProtection="1">
      <alignment horizontal="center" vertical="center"/>
      <protection locked="0"/>
    </xf>
    <xf numFmtId="0" fontId="1" fillId="0" borderId="1" xfId="0" applyFont="1" applyBorder="1" applyAlignment="1">
      <alignment horizontal="left" vertical="top"/>
    </xf>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4" fillId="7"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2" fillId="8" borderId="9" xfId="0" applyFont="1" applyFill="1" applyBorder="1" applyAlignment="1" applyProtection="1">
      <alignment horizontal="center" vertical="center" wrapText="1"/>
      <protection locked="0"/>
    </xf>
    <xf numFmtId="0" fontId="12" fillId="8" borderId="10" xfId="0" applyFont="1" applyFill="1" applyBorder="1" applyAlignment="1" applyProtection="1">
      <alignment horizontal="center" vertical="center" wrapText="1"/>
      <protection locked="0"/>
    </xf>
    <xf numFmtId="0" fontId="12" fillId="8" borderId="11" xfId="0" applyFont="1" applyFill="1" applyBorder="1" applyAlignment="1" applyProtection="1">
      <alignment horizontal="center" vertical="center" wrapText="1"/>
      <protection locked="0"/>
    </xf>
    <xf numFmtId="0" fontId="12" fillId="8" borderId="8" xfId="0" applyFont="1" applyFill="1" applyBorder="1" applyAlignment="1" applyProtection="1">
      <alignment horizontal="center" vertical="center" wrapText="1"/>
      <protection locked="0"/>
    </xf>
    <xf numFmtId="0" fontId="16" fillId="8"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8" borderId="1" xfId="0" applyFont="1" applyFill="1" applyBorder="1" applyAlignment="1" applyProtection="1">
      <alignment horizontal="justify" vertical="center" wrapText="1"/>
      <protection locked="0"/>
    </xf>
    <xf numFmtId="10" fontId="1" fillId="0" borderId="2" xfId="0" applyNumberFormat="1" applyFont="1" applyBorder="1" applyAlignment="1" applyProtection="1">
      <alignment horizontal="center" vertical="center" wrapText="1"/>
      <protection locked="0"/>
    </xf>
    <xf numFmtId="10" fontId="1" fillId="0" borderId="6" xfId="0" applyNumberFormat="1" applyFont="1" applyBorder="1" applyAlignment="1" applyProtection="1">
      <alignment horizontal="center" vertical="center" wrapText="1"/>
      <protection locked="0"/>
    </xf>
    <xf numFmtId="10" fontId="1" fillId="0" borderId="1" xfId="0" applyNumberFormat="1" applyFont="1" applyBorder="1" applyAlignment="1" applyProtection="1">
      <alignment horizontal="center" vertical="center" wrapText="1"/>
      <protection locked="0"/>
    </xf>
    <xf numFmtId="10" fontId="1" fillId="0" borderId="5" xfId="0" applyNumberFormat="1" applyFont="1" applyBorder="1" applyAlignment="1" applyProtection="1">
      <alignment horizontal="center" vertical="center" wrapText="1"/>
      <protection locked="0"/>
    </xf>
    <xf numFmtId="1" fontId="1" fillId="4" borderId="1" xfId="0" applyNumberFormat="1" applyFont="1" applyFill="1" applyBorder="1" applyAlignment="1" applyProtection="1">
      <alignment horizontal="left" vertical="justify" wrapText="1"/>
      <protection locked="0"/>
    </xf>
    <xf numFmtId="0" fontId="28" fillId="0" borderId="1" xfId="0" applyFont="1" applyBorder="1" applyAlignment="1">
      <alignment horizontal="left" vertical="top"/>
    </xf>
    <xf numFmtId="0" fontId="41" fillId="0" borderId="1" xfId="0" applyFont="1" applyBorder="1" applyAlignment="1">
      <alignment horizontal="center" vertical="center"/>
    </xf>
    <xf numFmtId="0" fontId="14" fillId="7" borderId="14" xfId="0" applyFont="1" applyFill="1" applyBorder="1" applyAlignment="1" applyProtection="1">
      <alignment horizontal="left" vertical="center" wrapText="1"/>
      <protection locked="0"/>
    </xf>
    <xf numFmtId="0" fontId="14" fillId="7" borderId="0" xfId="0" applyFont="1" applyFill="1" applyAlignment="1" applyProtection="1">
      <alignment horizontal="left" vertical="center" wrapText="1"/>
      <protection locked="0"/>
    </xf>
    <xf numFmtId="0" fontId="1" fillId="2" borderId="2"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0" borderId="0" xfId="0" applyFont="1" applyAlignment="1">
      <alignment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2" xfId="0" applyFont="1" applyBorder="1" applyAlignment="1">
      <alignment horizontal="center"/>
    </xf>
    <xf numFmtId="0" fontId="1" fillId="0" borderId="6" xfId="0" applyFont="1" applyBorder="1" applyAlignment="1">
      <alignment horizontal="center"/>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center"/>
    </xf>
    <xf numFmtId="0" fontId="18" fillId="0" borderId="0" xfId="0" applyFont="1" applyAlignment="1">
      <alignment horizontal="center"/>
    </xf>
    <xf numFmtId="0" fontId="18" fillId="9" borderId="1" xfId="0" applyFont="1" applyFill="1" applyBorder="1" applyAlignment="1">
      <alignment horizontal="left" vertical="center" wrapText="1"/>
    </xf>
    <xf numFmtId="0" fontId="0" fillId="9" borderId="1" xfId="0" applyFill="1" applyBorder="1" applyAlignment="1">
      <alignment horizont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9" borderId="2" xfId="0" applyFill="1" applyBorder="1" applyAlignment="1">
      <alignment horizontal="center"/>
    </xf>
    <xf numFmtId="0" fontId="0" fillId="9" borderId="6" xfId="0"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8" fillId="9" borderId="2" xfId="0" applyFont="1" applyFill="1" applyBorder="1" applyAlignment="1">
      <alignment horizontal="left"/>
    </xf>
    <xf numFmtId="0" fontId="18" fillId="9" borderId="5" xfId="0" applyFont="1" applyFill="1" applyBorder="1" applyAlignment="1">
      <alignment horizontal="left"/>
    </xf>
    <xf numFmtId="0" fontId="18" fillId="9" borderId="6" xfId="0" applyFont="1" applyFill="1" applyBorder="1" applyAlignment="1">
      <alignment horizontal="left"/>
    </xf>
    <xf numFmtId="1" fontId="1" fillId="7" borderId="1" xfId="0" applyNumberFormat="1" applyFont="1" applyFill="1" applyBorder="1" applyAlignment="1">
      <alignment horizontal="center" vertical="center"/>
    </xf>
    <xf numFmtId="0" fontId="42" fillId="3" borderId="1" xfId="0" applyFont="1" applyFill="1" applyBorder="1" applyAlignment="1">
      <alignment horizontal="center" vertical="center"/>
    </xf>
  </cellXfs>
  <cellStyles count="2">
    <cellStyle name="Hyperlink" xfId="1" builtinId="8"/>
    <cellStyle name="Normal" xfId="0" builtinId="0"/>
  </cellStyles>
  <dxfs count="71">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ont>
        <condense val="0"/>
        <extend val="0"/>
        <color rgb="FF006100"/>
      </font>
      <fill>
        <patternFill>
          <bgColor rgb="FFC6EFCE"/>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C00000"/>
        </patternFill>
      </fill>
    </dxf>
    <dxf>
      <fill>
        <patternFill>
          <bgColor rgb="FFC00000"/>
        </patternFill>
      </fill>
    </dxf>
    <dxf>
      <font>
        <condense val="0"/>
        <extend val="0"/>
        <color rgb="FF006100"/>
      </font>
      <fill>
        <patternFill>
          <bgColor rgb="FFC6EFCE"/>
        </patternFill>
      </fill>
    </dxf>
    <dxf>
      <fill>
        <patternFill>
          <bgColor rgb="FFFF0000"/>
        </patternFill>
      </fill>
    </dxf>
    <dxf>
      <font>
        <condense val="0"/>
        <extend val="0"/>
        <color rgb="FF9C0006"/>
      </font>
      <fill>
        <patternFill>
          <bgColor rgb="FFFFC7CE"/>
        </patternFill>
      </fill>
    </dxf>
    <dxf>
      <fill>
        <patternFill>
          <bgColor rgb="FF00B050"/>
        </patternFill>
      </fill>
    </dxf>
    <dxf>
      <font>
        <condense val="0"/>
        <extend val="0"/>
        <color rgb="FF006100"/>
      </font>
      <fill>
        <patternFill>
          <bgColor rgb="FFC6EFCE"/>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9</xdr:col>
      <xdr:colOff>307054</xdr:colOff>
      <xdr:row>110</xdr:row>
      <xdr:rowOff>69860</xdr:rowOff>
    </xdr:from>
    <xdr:to>
      <xdr:col>10</xdr:col>
      <xdr:colOff>343384</xdr:colOff>
      <xdr:row>113</xdr:row>
      <xdr:rowOff>125104</xdr:rowOff>
    </xdr:to>
    <xdr:pic>
      <xdr:nvPicPr>
        <xdr:cNvPr id="2" name="Imagine 1">
          <a:extLst>
            <a:ext uri="{FF2B5EF4-FFF2-40B4-BE49-F238E27FC236}">
              <a16:creationId xmlns:a16="http://schemas.microsoft.com/office/drawing/2014/main" id="{A14831F0-AF95-4261-9353-A796B3639C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5236" y="12088678"/>
          <a:ext cx="607830" cy="557471"/>
        </a:xfrm>
        <a:prstGeom prst="rect">
          <a:avLst/>
        </a:prstGeom>
      </xdr:spPr>
    </xdr:pic>
    <xdr:clientData/>
  </xdr:twoCellAnchor>
  <xdr:twoCellAnchor>
    <xdr:from>
      <xdr:col>10</xdr:col>
      <xdr:colOff>384538</xdr:colOff>
      <xdr:row>110</xdr:row>
      <xdr:rowOff>67871</xdr:rowOff>
    </xdr:from>
    <xdr:to>
      <xdr:col>12</xdr:col>
      <xdr:colOff>23481</xdr:colOff>
      <xdr:row>113</xdr:row>
      <xdr:rowOff>123549</xdr:rowOff>
    </xdr:to>
    <xdr:pic>
      <xdr:nvPicPr>
        <xdr:cNvPr id="3" name="Imagine 2">
          <a:extLst>
            <a:ext uri="{FF2B5EF4-FFF2-40B4-BE49-F238E27FC236}">
              <a16:creationId xmlns:a16="http://schemas.microsoft.com/office/drawing/2014/main" id="{4836F4DA-E46E-4304-AF0D-9D041B47FA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4220" y="12086689"/>
          <a:ext cx="539488" cy="557905"/>
        </a:xfrm>
        <a:prstGeom prst="rect">
          <a:avLst/>
        </a:prstGeom>
      </xdr:spPr>
    </xdr:pic>
    <xdr:clientData/>
  </xdr:twoCellAnchor>
  <xdr:twoCellAnchor>
    <xdr:from>
      <xdr:col>7</xdr:col>
      <xdr:colOff>193830</xdr:colOff>
      <xdr:row>110</xdr:row>
      <xdr:rowOff>67642</xdr:rowOff>
    </xdr:from>
    <xdr:to>
      <xdr:col>8</xdr:col>
      <xdr:colOff>145224</xdr:colOff>
      <xdr:row>113</xdr:row>
      <xdr:rowOff>122886</xdr:rowOff>
    </xdr:to>
    <xdr:pic>
      <xdr:nvPicPr>
        <xdr:cNvPr id="21" name="Imagine 20">
          <a:extLst>
            <a:ext uri="{FF2B5EF4-FFF2-40B4-BE49-F238E27FC236}">
              <a16:creationId xmlns:a16="http://schemas.microsoft.com/office/drawing/2014/main" id="{8A438121-A6DD-4FCF-AFA3-317A27FF76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92103" y="12086460"/>
          <a:ext cx="586394" cy="557471"/>
        </a:xfrm>
        <a:prstGeom prst="rect">
          <a:avLst/>
        </a:prstGeom>
      </xdr:spPr>
    </xdr:pic>
    <xdr:clientData/>
  </xdr:twoCellAnchor>
  <xdr:twoCellAnchor>
    <xdr:from>
      <xdr:col>8</xdr:col>
      <xdr:colOff>180603</xdr:colOff>
      <xdr:row>110</xdr:row>
      <xdr:rowOff>68534</xdr:rowOff>
    </xdr:from>
    <xdr:to>
      <xdr:col>9</xdr:col>
      <xdr:colOff>263739</xdr:colOff>
      <xdr:row>113</xdr:row>
      <xdr:rowOff>123778</xdr:rowOff>
    </xdr:to>
    <xdr:pic>
      <xdr:nvPicPr>
        <xdr:cNvPr id="22" name="Imagine 21">
          <a:extLst>
            <a:ext uri="{FF2B5EF4-FFF2-40B4-BE49-F238E27FC236}">
              <a16:creationId xmlns:a16="http://schemas.microsoft.com/office/drawing/2014/main" id="{6D85791F-1D90-4E86-A7D8-02F42D1AEF0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13876" y="12087352"/>
          <a:ext cx="568045" cy="557471"/>
        </a:xfrm>
        <a:prstGeom prst="rect">
          <a:avLst/>
        </a:prstGeom>
      </xdr:spPr>
    </xdr:pic>
    <xdr:clientData/>
  </xdr:twoCellAnchor>
  <xdr:twoCellAnchor>
    <xdr:from>
      <xdr:col>4</xdr:col>
      <xdr:colOff>285896</xdr:colOff>
      <xdr:row>110</xdr:row>
      <xdr:rowOff>66083</xdr:rowOff>
    </xdr:from>
    <xdr:to>
      <xdr:col>6</xdr:col>
      <xdr:colOff>177153</xdr:colOff>
      <xdr:row>113</xdr:row>
      <xdr:rowOff>121327</xdr:rowOff>
    </xdr:to>
    <xdr:pic>
      <xdr:nvPicPr>
        <xdr:cNvPr id="25" name="Imagine 24">
          <a:extLst>
            <a:ext uri="{FF2B5EF4-FFF2-40B4-BE49-F238E27FC236}">
              <a16:creationId xmlns:a16="http://schemas.microsoft.com/office/drawing/2014/main" id="{8645E88F-91B8-4604-B0B0-13D7E33DD8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62214" y="12084901"/>
          <a:ext cx="589757" cy="557471"/>
        </a:xfrm>
        <a:prstGeom prst="rect">
          <a:avLst/>
        </a:prstGeom>
      </xdr:spPr>
    </xdr:pic>
    <xdr:clientData/>
  </xdr:twoCellAnchor>
  <xdr:twoCellAnchor>
    <xdr:from>
      <xdr:col>6</xdr:col>
      <xdr:colOff>208524</xdr:colOff>
      <xdr:row>110</xdr:row>
      <xdr:rowOff>66974</xdr:rowOff>
    </xdr:from>
    <xdr:to>
      <xdr:col>7</xdr:col>
      <xdr:colOff>152677</xdr:colOff>
      <xdr:row>113</xdr:row>
      <xdr:rowOff>122218</xdr:rowOff>
    </xdr:to>
    <xdr:pic>
      <xdr:nvPicPr>
        <xdr:cNvPr id="27" name="Imagine 26">
          <a:extLst>
            <a:ext uri="{FF2B5EF4-FFF2-40B4-BE49-F238E27FC236}">
              <a16:creationId xmlns:a16="http://schemas.microsoft.com/office/drawing/2014/main" id="{B2C4B06D-8BB1-430D-B6CB-B493FE81EC6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83342" y="12085792"/>
          <a:ext cx="567608" cy="557471"/>
        </a:xfrm>
        <a:prstGeom prst="rect">
          <a:avLst/>
        </a:prstGeom>
      </xdr:spPr>
    </xdr:pic>
    <xdr:clientData/>
  </xdr:twoCellAnchor>
  <xdr:twoCellAnchor>
    <xdr:from>
      <xdr:col>0</xdr:col>
      <xdr:colOff>0</xdr:colOff>
      <xdr:row>110</xdr:row>
      <xdr:rowOff>57195</xdr:rowOff>
    </xdr:from>
    <xdr:to>
      <xdr:col>0</xdr:col>
      <xdr:colOff>576532</xdr:colOff>
      <xdr:row>113</xdr:row>
      <xdr:rowOff>114991</xdr:rowOff>
    </xdr:to>
    <xdr:pic>
      <xdr:nvPicPr>
        <xdr:cNvPr id="28" name="Imagine 27">
          <a:extLst>
            <a:ext uri="{FF2B5EF4-FFF2-40B4-BE49-F238E27FC236}">
              <a16:creationId xmlns:a16="http://schemas.microsoft.com/office/drawing/2014/main" id="{870165DE-65B0-4D6E-8022-6EFEEF55CC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2076013"/>
          <a:ext cx="576532" cy="560023"/>
        </a:xfrm>
        <a:prstGeom prst="rect">
          <a:avLst/>
        </a:prstGeom>
      </xdr:spPr>
    </xdr:pic>
    <xdr:clientData/>
  </xdr:twoCellAnchor>
  <xdr:twoCellAnchor>
    <xdr:from>
      <xdr:col>0</xdr:col>
      <xdr:colOff>602213</xdr:colOff>
      <xdr:row>110</xdr:row>
      <xdr:rowOff>59083</xdr:rowOff>
    </xdr:from>
    <xdr:to>
      <xdr:col>1</xdr:col>
      <xdr:colOff>501697</xdr:colOff>
      <xdr:row>113</xdr:row>
      <xdr:rowOff>116879</xdr:rowOff>
    </xdr:to>
    <xdr:pic>
      <xdr:nvPicPr>
        <xdr:cNvPr id="29" name="Imagine 28">
          <a:extLst>
            <a:ext uri="{FF2B5EF4-FFF2-40B4-BE49-F238E27FC236}">
              <a16:creationId xmlns:a16="http://schemas.microsoft.com/office/drawing/2014/main" id="{267DF965-529B-4613-9A6F-0FB0C16F946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2213" y="12077901"/>
          <a:ext cx="609529" cy="560023"/>
        </a:xfrm>
        <a:prstGeom prst="rect">
          <a:avLst/>
        </a:prstGeom>
      </xdr:spPr>
    </xdr:pic>
    <xdr:clientData/>
  </xdr:twoCellAnchor>
  <xdr:twoCellAnchor>
    <xdr:from>
      <xdr:col>1</xdr:col>
      <xdr:colOff>537076</xdr:colOff>
      <xdr:row>110</xdr:row>
      <xdr:rowOff>59189</xdr:rowOff>
    </xdr:from>
    <xdr:to>
      <xdr:col>3</xdr:col>
      <xdr:colOff>11590</xdr:colOff>
      <xdr:row>113</xdr:row>
      <xdr:rowOff>116985</xdr:rowOff>
    </xdr:to>
    <xdr:pic>
      <xdr:nvPicPr>
        <xdr:cNvPr id="30" name="Imagine 29">
          <a:extLst>
            <a:ext uri="{FF2B5EF4-FFF2-40B4-BE49-F238E27FC236}">
              <a16:creationId xmlns:a16="http://schemas.microsoft.com/office/drawing/2014/main" id="{116BAE65-55C0-4C81-866C-1AA93A11328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7121" y="12078007"/>
          <a:ext cx="582878" cy="560023"/>
        </a:xfrm>
        <a:prstGeom prst="rect">
          <a:avLst/>
        </a:prstGeom>
      </xdr:spPr>
    </xdr:pic>
    <xdr:clientData/>
  </xdr:twoCellAnchor>
  <xdr:twoCellAnchor>
    <xdr:from>
      <xdr:col>3</xdr:col>
      <xdr:colOff>41259</xdr:colOff>
      <xdr:row>110</xdr:row>
      <xdr:rowOff>67309</xdr:rowOff>
    </xdr:from>
    <xdr:to>
      <xdr:col>4</xdr:col>
      <xdr:colOff>250516</xdr:colOff>
      <xdr:row>113</xdr:row>
      <xdr:rowOff>121534</xdr:rowOff>
    </xdr:to>
    <xdr:pic>
      <xdr:nvPicPr>
        <xdr:cNvPr id="34" name="Imagine 33">
          <a:extLst>
            <a:ext uri="{FF2B5EF4-FFF2-40B4-BE49-F238E27FC236}">
              <a16:creationId xmlns:a16="http://schemas.microsoft.com/office/drawing/2014/main" id="{19C80A89-B742-45DA-BC78-77E7BFFE290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59668" y="12086127"/>
          <a:ext cx="567166" cy="556452"/>
        </a:xfrm>
        <a:prstGeom prst="rect">
          <a:avLst/>
        </a:prstGeom>
      </xdr:spPr>
    </xdr:pic>
    <xdr:clientData/>
  </xdr:twoCellAnchor>
  <xdr:oneCellAnchor>
    <xdr:from>
      <xdr:col>0</xdr:col>
      <xdr:colOff>65485</xdr:colOff>
      <xdr:row>106</xdr:row>
      <xdr:rowOff>59532</xdr:rowOff>
    </xdr:from>
    <xdr:ext cx="540000" cy="537618"/>
    <xdr:pic>
      <xdr:nvPicPr>
        <xdr:cNvPr id="36" name="Imagine 35">
          <a:extLst>
            <a:ext uri="{FF2B5EF4-FFF2-40B4-BE49-F238E27FC236}">
              <a16:creationId xmlns:a16="http://schemas.microsoft.com/office/drawing/2014/main" id="{E9768BD4-CFDA-4CDB-B156-739F4F345CF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5485" y="11270457"/>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4</xdr:row>
          <xdr:rowOff>902</xdr:rowOff>
        </xdr:from>
        <xdr:to>
          <xdr:col>13</xdr:col>
          <xdr:colOff>602051</xdr:colOff>
          <xdr:row>5</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7868040" y="762902"/>
              <a:ext cx="1277936" cy="190493"/>
              <a:chOff x="7356008" y="381883"/>
              <a:chExt cx="1216705" cy="188695"/>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6008" y="381883"/>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9</xdr:row>
          <xdr:rowOff>95252</xdr:rowOff>
        </xdr:from>
        <xdr:to>
          <xdr:col>13</xdr:col>
          <xdr:colOff>602051</xdr:colOff>
          <xdr:row>10</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7868040" y="1809752"/>
              <a:ext cx="1277936" cy="190492"/>
              <a:chOff x="7356008" y="381839"/>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11</xdr:row>
          <xdr:rowOff>95252</xdr:rowOff>
        </xdr:from>
        <xdr:to>
          <xdr:col>13</xdr:col>
          <xdr:colOff>602051</xdr:colOff>
          <xdr:row>12</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7868040" y="2190752"/>
              <a:ext cx="1277936" cy="190492"/>
              <a:chOff x="7356008" y="381839"/>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14</xdr:row>
          <xdr:rowOff>902</xdr:rowOff>
        </xdr:from>
        <xdr:to>
          <xdr:col>13</xdr:col>
          <xdr:colOff>602051</xdr:colOff>
          <xdr:row>15</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7868040" y="2667902"/>
              <a:ext cx="1277936" cy="190492"/>
              <a:chOff x="7356008" y="381839"/>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17</xdr:row>
          <xdr:rowOff>99745</xdr:rowOff>
        </xdr:from>
        <xdr:to>
          <xdr:col>13</xdr:col>
          <xdr:colOff>602051</xdr:colOff>
          <xdr:row>18</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7868040" y="3338245"/>
              <a:ext cx="1277936" cy="190492"/>
              <a:chOff x="7356008" y="381839"/>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19</xdr:row>
          <xdr:rowOff>99745</xdr:rowOff>
        </xdr:from>
        <xdr:to>
          <xdr:col>13</xdr:col>
          <xdr:colOff>602051</xdr:colOff>
          <xdr:row>20</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7868040" y="3719245"/>
              <a:ext cx="1277936" cy="190492"/>
              <a:chOff x="7356008" y="381839"/>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21</xdr:row>
          <xdr:rowOff>99745</xdr:rowOff>
        </xdr:from>
        <xdr:to>
          <xdr:col>13</xdr:col>
          <xdr:colOff>602051</xdr:colOff>
          <xdr:row>22</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7868040" y="4100245"/>
              <a:ext cx="1277936" cy="190492"/>
              <a:chOff x="7356008" y="381839"/>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7</xdr:row>
          <xdr:rowOff>94893</xdr:rowOff>
        </xdr:from>
        <xdr:to>
          <xdr:col>13</xdr:col>
          <xdr:colOff>601692</xdr:colOff>
          <xdr:row>8</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7867681" y="1428393"/>
              <a:ext cx="1277936" cy="190492"/>
              <a:chOff x="7356008" y="381839"/>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23</xdr:row>
          <xdr:rowOff>99745</xdr:rowOff>
        </xdr:from>
        <xdr:to>
          <xdr:col>13</xdr:col>
          <xdr:colOff>602051</xdr:colOff>
          <xdr:row>24</xdr:row>
          <xdr:rowOff>99737</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7868040" y="4481245"/>
              <a:ext cx="1277936" cy="190492"/>
              <a:chOff x="7356008" y="381839"/>
              <a:chExt cx="1216705" cy="188695"/>
            </a:xfrm>
          </xdr:grpSpPr>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25</xdr:row>
          <xdr:rowOff>99745</xdr:rowOff>
        </xdr:from>
        <xdr:to>
          <xdr:col>13</xdr:col>
          <xdr:colOff>602051</xdr:colOff>
          <xdr:row>26</xdr:row>
          <xdr:rowOff>99737</xdr:rowOff>
        </xdr:to>
        <xdr:grpSp>
          <xdr:nvGrpSpPr>
            <xdr:cNvPr id="38" name="Group 37">
              <a:extLst>
                <a:ext uri="{FF2B5EF4-FFF2-40B4-BE49-F238E27FC236}">
                  <a16:creationId xmlns:a16="http://schemas.microsoft.com/office/drawing/2014/main" id="{00000000-0008-0000-0100-000026000000}"/>
                </a:ext>
              </a:extLst>
            </xdr:cNvPr>
            <xdr:cNvGrpSpPr/>
          </xdr:nvGrpSpPr>
          <xdr:grpSpPr>
            <a:xfrm>
              <a:off x="7868040" y="4862245"/>
              <a:ext cx="1277936" cy="190492"/>
              <a:chOff x="7356008" y="381839"/>
              <a:chExt cx="1216705" cy="188695"/>
            </a:xfrm>
          </xdr:grpSpPr>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735600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een.ubbcluj.ro/procedura-de-aplicare-a-etichetelor-odd" TargetMode="External"/><Relationship Id="rId7" Type="http://schemas.openxmlformats.org/officeDocument/2006/relationships/comments" Target="../comments1.xml"/><Relationship Id="rId2" Type="http://schemas.openxmlformats.org/officeDocument/2006/relationships/hyperlink" Target="http://www.anc.edu.ro/registrul-national-al-calificarilor-din-invatamantul-superior-rncis" TargetMode="External"/><Relationship Id="rId1" Type="http://schemas.openxmlformats.org/officeDocument/2006/relationships/hyperlink" Target="http://www.anc.edu.ro/registrul-national-al-calificarilor-din-invatamantul-superior-rnci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D394"/>
  <sheetViews>
    <sheetView tabSelected="1" showRuler="0" view="pageLayout" topLeftCell="A278" zoomScaleNormal="100" workbookViewId="0">
      <selection activeCell="U295" sqref="U295:V295"/>
    </sheetView>
  </sheetViews>
  <sheetFormatPr defaultColWidth="9.140625" defaultRowHeight="12.75" x14ac:dyDescent="0.2"/>
  <cols>
    <col min="1" max="1" width="9.28515625" style="1" customWidth="1"/>
    <col min="2" max="2" width="7.140625" style="1" customWidth="1"/>
    <col min="3" max="3" width="7.28515625" style="1" customWidth="1"/>
    <col min="4" max="5" width="4.7109375" style="1" customWidth="1"/>
    <col min="6" max="6" width="4.42578125" style="1" customWidth="1"/>
    <col min="7" max="7" width="8.140625" style="1" customWidth="1"/>
    <col min="8" max="8" width="8.28515625" style="1" customWidth="1"/>
    <col min="9" max="9" width="6.28515625" style="1" customWidth="1"/>
    <col min="10" max="10" width="7.42578125" style="1" customWidth="1"/>
    <col min="11" max="11" width="5.7109375" style="1" customWidth="1"/>
    <col min="12" max="12" width="6.140625" style="1" customWidth="1"/>
    <col min="13" max="13" width="5.42578125" style="1" customWidth="1"/>
    <col min="14" max="18" width="6" style="1" customWidth="1"/>
    <col min="19" max="19" width="6.140625" style="1" customWidth="1"/>
    <col min="20" max="20" width="9.28515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s="4" customFormat="1" x14ac:dyDescent="0.25">
      <c r="A1" s="217" t="s">
        <v>82</v>
      </c>
      <c r="B1" s="217"/>
      <c r="C1" s="217"/>
      <c r="D1" s="217"/>
      <c r="E1" s="217"/>
      <c r="F1" s="217"/>
      <c r="G1" s="217"/>
      <c r="H1" s="217"/>
      <c r="I1" s="217"/>
      <c r="J1" s="217"/>
      <c r="K1" s="217"/>
      <c r="M1" s="47"/>
      <c r="N1" s="47"/>
      <c r="O1" s="47"/>
      <c r="P1" s="47"/>
      <c r="Q1" s="47"/>
      <c r="R1" s="47"/>
      <c r="S1" s="47"/>
      <c r="T1" s="47"/>
    </row>
    <row r="2" spans="1:26" s="4" customFormat="1" ht="15" x14ac:dyDescent="0.25">
      <c r="A2" s="217"/>
      <c r="B2" s="217"/>
      <c r="C2" s="217"/>
      <c r="D2" s="217"/>
      <c r="E2" s="217"/>
      <c r="F2" s="217"/>
      <c r="G2" s="217"/>
      <c r="H2" s="217"/>
      <c r="I2" s="217"/>
      <c r="J2" s="217"/>
      <c r="K2" s="217"/>
      <c r="M2" s="130" t="s">
        <v>17</v>
      </c>
      <c r="N2" s="130"/>
      <c r="O2" s="130"/>
      <c r="P2" s="130"/>
      <c r="Q2" s="130"/>
      <c r="R2" s="130"/>
      <c r="S2" s="130"/>
      <c r="T2" s="130"/>
      <c r="Z2" s="41"/>
    </row>
    <row r="3" spans="1:26" s="4" customFormat="1" ht="15" customHeight="1" x14ac:dyDescent="0.25">
      <c r="A3" s="153" t="s">
        <v>61</v>
      </c>
      <c r="B3" s="153"/>
      <c r="C3" s="153"/>
      <c r="D3" s="153"/>
      <c r="E3" s="153"/>
      <c r="F3" s="153"/>
      <c r="G3" s="153"/>
      <c r="H3" s="153"/>
      <c r="I3" s="153"/>
      <c r="J3" s="153"/>
      <c r="K3" s="153"/>
      <c r="M3" s="197"/>
      <c r="N3" s="198"/>
      <c r="O3" s="184" t="s">
        <v>32</v>
      </c>
      <c r="P3" s="185"/>
      <c r="Q3" s="186"/>
      <c r="R3" s="184" t="s">
        <v>33</v>
      </c>
      <c r="S3" s="185"/>
      <c r="T3" s="186"/>
      <c r="U3" s="180" t="str">
        <f>IF(O4&gt;=14,"Corect","Trebuie alocate cel puțin 14 de ore pe săptămână")</f>
        <v>Corect</v>
      </c>
      <c r="V3" s="181"/>
      <c r="W3" s="181"/>
      <c r="X3" s="181"/>
      <c r="Y3" s="41"/>
      <c r="Z3" s="41"/>
    </row>
    <row r="4" spans="1:26" s="4" customFormat="1" ht="15" customHeight="1" x14ac:dyDescent="0.25">
      <c r="A4" s="153" t="s">
        <v>160</v>
      </c>
      <c r="B4" s="153"/>
      <c r="C4" s="153"/>
      <c r="D4" s="153"/>
      <c r="E4" s="153"/>
      <c r="F4" s="153"/>
      <c r="G4" s="153"/>
      <c r="H4" s="153"/>
      <c r="I4" s="153"/>
      <c r="J4" s="153"/>
      <c r="K4" s="153"/>
      <c r="M4" s="199" t="s">
        <v>12</v>
      </c>
      <c r="N4" s="200"/>
      <c r="O4" s="187">
        <f>N128</f>
        <v>18</v>
      </c>
      <c r="P4" s="188"/>
      <c r="Q4" s="189"/>
      <c r="R4" s="187">
        <f>N141</f>
        <v>18</v>
      </c>
      <c r="S4" s="188"/>
      <c r="T4" s="189"/>
      <c r="U4" s="180" t="str">
        <f>IF(R4&gt;=14,"Corect","Trebuie alocate cel puțin 14 de ore pe săptămână")</f>
        <v>Corect</v>
      </c>
      <c r="V4" s="181"/>
      <c r="W4" s="181"/>
      <c r="X4" s="181"/>
      <c r="Y4" s="41"/>
      <c r="Z4" s="41"/>
    </row>
    <row r="5" spans="1:26" s="4" customFormat="1" ht="15" customHeight="1" x14ac:dyDescent="0.25">
      <c r="A5" s="2"/>
      <c r="B5" s="2"/>
      <c r="C5" s="2"/>
      <c r="D5" s="2"/>
      <c r="E5" s="2"/>
      <c r="F5" s="2"/>
      <c r="G5" s="2"/>
      <c r="H5" s="2"/>
      <c r="I5" s="2"/>
      <c r="J5" s="2"/>
      <c r="K5" s="2"/>
      <c r="M5" s="199" t="s">
        <v>13</v>
      </c>
      <c r="N5" s="200"/>
      <c r="O5" s="187">
        <f>N153</f>
        <v>18</v>
      </c>
      <c r="P5" s="188"/>
      <c r="Q5" s="189"/>
      <c r="R5" s="187">
        <f>N165</f>
        <v>13</v>
      </c>
      <c r="S5" s="188"/>
      <c r="T5" s="189"/>
      <c r="U5" s="180" t="str">
        <f>IF(O5&gt;=14,"Corect","Trebuie alocate cel puțin 14 de ore pe săptămână")</f>
        <v>Corect</v>
      </c>
      <c r="V5" s="181"/>
      <c r="W5" s="181"/>
      <c r="X5" s="181"/>
      <c r="Y5" s="41"/>
      <c r="Z5" s="41"/>
    </row>
    <row r="6" spans="1:26" s="4" customFormat="1" ht="15" customHeight="1" x14ac:dyDescent="0.25">
      <c r="A6" s="120" t="s">
        <v>236</v>
      </c>
      <c r="B6" s="120"/>
      <c r="C6" s="120"/>
      <c r="D6" s="120"/>
      <c r="E6" s="120"/>
      <c r="F6" s="120"/>
      <c r="G6" s="120"/>
      <c r="H6" s="120"/>
      <c r="I6" s="120"/>
      <c r="J6" s="120"/>
      <c r="K6" s="120"/>
      <c r="U6" s="180" t="str">
        <f>IF(R5&gt;=12,"Corect","Trebuie alocate cel puțin 12 de ore pe săptămână")</f>
        <v>Corect</v>
      </c>
      <c r="V6" s="181"/>
      <c r="W6" s="181"/>
      <c r="X6" s="181"/>
      <c r="Y6" s="41"/>
      <c r="Z6" s="41"/>
    </row>
    <row r="7" spans="1:26" s="4" customFormat="1" ht="15" customHeight="1" x14ac:dyDescent="0.25">
      <c r="A7" s="120" t="s">
        <v>164</v>
      </c>
      <c r="B7" s="120"/>
      <c r="C7" s="120"/>
      <c r="D7" s="120"/>
      <c r="E7" s="120"/>
      <c r="F7" s="120"/>
      <c r="G7" s="120"/>
      <c r="H7" s="120"/>
      <c r="I7" s="120"/>
      <c r="J7" s="120"/>
      <c r="K7" s="120"/>
      <c r="U7" s="2"/>
      <c r="Y7" s="41"/>
      <c r="Z7" s="41"/>
    </row>
    <row r="8" spans="1:26" s="4" customFormat="1" ht="15" customHeight="1" x14ac:dyDescent="0.25">
      <c r="A8" s="99" t="s">
        <v>237</v>
      </c>
      <c r="B8" s="99"/>
      <c r="C8" s="99"/>
      <c r="D8" s="99"/>
      <c r="E8" s="99"/>
      <c r="F8" s="99"/>
      <c r="G8" s="99"/>
      <c r="H8" s="99"/>
      <c r="I8" s="99"/>
      <c r="J8" s="99"/>
      <c r="K8" s="99"/>
      <c r="M8" s="120" t="s">
        <v>148</v>
      </c>
      <c r="N8" s="120"/>
      <c r="O8" s="120"/>
      <c r="P8" s="120"/>
      <c r="Q8" s="120"/>
      <c r="R8" s="120"/>
      <c r="S8" s="120"/>
      <c r="T8" s="120"/>
      <c r="U8" s="2"/>
      <c r="V8" s="41"/>
      <c r="W8" s="41"/>
      <c r="X8" s="41"/>
      <c r="Y8" s="41"/>
      <c r="Z8" s="41"/>
    </row>
    <row r="9" spans="1:26" s="4" customFormat="1" ht="15" x14ac:dyDescent="0.25">
      <c r="A9" s="99" t="s">
        <v>93</v>
      </c>
      <c r="B9" s="99"/>
      <c r="C9" s="99"/>
      <c r="D9" s="99"/>
      <c r="E9" s="99"/>
      <c r="F9" s="99"/>
      <c r="G9" s="99"/>
      <c r="H9" s="99"/>
      <c r="I9" s="99"/>
      <c r="J9" s="99"/>
      <c r="K9" s="99"/>
      <c r="M9" s="120"/>
      <c r="N9" s="120"/>
      <c r="O9" s="120"/>
      <c r="P9" s="120"/>
      <c r="Q9" s="120"/>
      <c r="R9" s="120"/>
      <c r="S9" s="120"/>
      <c r="T9" s="120"/>
      <c r="Y9" s="41"/>
      <c r="Z9" s="41"/>
    </row>
    <row r="10" spans="1:26" s="4" customFormat="1" ht="15" x14ac:dyDescent="0.25">
      <c r="A10" s="99" t="s">
        <v>94</v>
      </c>
      <c r="B10" s="99"/>
      <c r="C10" s="99"/>
      <c r="D10" s="99"/>
      <c r="E10" s="99"/>
      <c r="F10" s="99"/>
      <c r="G10" s="99"/>
      <c r="H10" s="99"/>
      <c r="I10" s="99"/>
      <c r="J10" s="99"/>
      <c r="K10" s="99"/>
      <c r="M10" s="120"/>
      <c r="N10" s="120"/>
      <c r="O10" s="120"/>
      <c r="P10" s="120"/>
      <c r="Q10" s="120"/>
      <c r="R10" s="120"/>
      <c r="S10" s="120"/>
      <c r="T10" s="120"/>
      <c r="U10" s="182" t="s">
        <v>66</v>
      </c>
      <c r="V10" s="182"/>
      <c r="W10" s="182"/>
      <c r="X10" s="182"/>
      <c r="Y10" s="41"/>
      <c r="Z10" s="41"/>
    </row>
    <row r="11" spans="1:26" s="4" customFormat="1" ht="15" customHeight="1" x14ac:dyDescent="0.25">
      <c r="A11" s="99" t="s">
        <v>15</v>
      </c>
      <c r="B11" s="99"/>
      <c r="C11" s="99"/>
      <c r="D11" s="99"/>
      <c r="E11" s="99"/>
      <c r="F11" s="99"/>
      <c r="G11" s="99"/>
      <c r="H11" s="99"/>
      <c r="I11" s="99"/>
      <c r="J11" s="99"/>
      <c r="K11" s="99"/>
      <c r="U11" s="182"/>
      <c r="V11" s="182"/>
      <c r="W11" s="182"/>
      <c r="X11" s="182"/>
      <c r="Y11" s="41"/>
      <c r="Z11" s="41"/>
    </row>
    <row r="12" spans="1:26" s="4" customFormat="1" ht="15" customHeight="1" x14ac:dyDescent="0.25">
      <c r="A12" s="99" t="s">
        <v>161</v>
      </c>
      <c r="B12" s="99"/>
      <c r="C12" s="99"/>
      <c r="D12" s="99"/>
      <c r="E12" s="99"/>
      <c r="F12" s="99"/>
      <c r="G12" s="99"/>
      <c r="H12" s="99"/>
      <c r="I12" s="99"/>
      <c r="J12" s="99"/>
      <c r="K12" s="99"/>
      <c r="U12" s="182"/>
      <c r="V12" s="182"/>
      <c r="W12" s="182"/>
      <c r="X12" s="182"/>
      <c r="Y12" s="41"/>
      <c r="Z12" s="41"/>
    </row>
    <row r="13" spans="1:26" s="4" customFormat="1" ht="15" customHeight="1" x14ac:dyDescent="0.25">
      <c r="U13" s="182"/>
      <c r="V13" s="182"/>
      <c r="W13" s="182"/>
      <c r="X13" s="182"/>
      <c r="Y13" s="41"/>
      <c r="Z13" s="41"/>
    </row>
    <row r="14" spans="1:26" s="4" customFormat="1" ht="15" customHeight="1" x14ac:dyDescent="0.25">
      <c r="A14" s="130" t="s">
        <v>95</v>
      </c>
      <c r="B14" s="130"/>
      <c r="C14" s="130"/>
      <c r="D14" s="130"/>
      <c r="E14" s="130"/>
      <c r="F14" s="130"/>
      <c r="G14" s="130"/>
      <c r="H14" s="130"/>
      <c r="I14" s="130"/>
      <c r="J14" s="130"/>
      <c r="K14" s="130"/>
      <c r="M14" s="95" t="s">
        <v>18</v>
      </c>
      <c r="N14" s="95"/>
      <c r="O14" s="95"/>
      <c r="P14" s="95"/>
      <c r="Q14" s="95"/>
      <c r="R14" s="95"/>
      <c r="S14" s="95"/>
      <c r="T14" s="95"/>
      <c r="U14" s="182"/>
      <c r="V14" s="182"/>
      <c r="W14" s="182"/>
      <c r="X14" s="182"/>
      <c r="Y14" s="41"/>
      <c r="Z14" s="41"/>
    </row>
    <row r="15" spans="1:26" s="4" customFormat="1" ht="15" customHeight="1" x14ac:dyDescent="0.25">
      <c r="A15" s="130" t="s">
        <v>96</v>
      </c>
      <c r="B15" s="130"/>
      <c r="C15" s="130"/>
      <c r="D15" s="130"/>
      <c r="E15" s="130"/>
      <c r="F15" s="130"/>
      <c r="G15" s="130"/>
      <c r="H15" s="130"/>
      <c r="I15" s="130"/>
      <c r="J15" s="130"/>
      <c r="K15" s="130"/>
      <c r="M15" s="87" t="s">
        <v>162</v>
      </c>
      <c r="N15" s="87"/>
      <c r="O15" s="87"/>
      <c r="P15" s="87"/>
      <c r="Q15" s="87"/>
      <c r="R15" s="87"/>
      <c r="S15" s="87"/>
      <c r="T15" s="87"/>
      <c r="U15" s="182"/>
      <c r="V15" s="182"/>
      <c r="W15" s="182"/>
      <c r="X15" s="182"/>
      <c r="Y15" s="41"/>
      <c r="Z15" s="41"/>
    </row>
    <row r="16" spans="1:26" s="4" customFormat="1" ht="12.75" customHeight="1" x14ac:dyDescent="0.25">
      <c r="A16" s="133" t="s">
        <v>234</v>
      </c>
      <c r="B16" s="133"/>
      <c r="C16" s="133"/>
      <c r="D16" s="133"/>
      <c r="E16" s="133"/>
      <c r="F16" s="133"/>
      <c r="G16" s="133"/>
      <c r="H16" s="133"/>
      <c r="I16" s="133"/>
      <c r="J16" s="133"/>
      <c r="K16" s="133"/>
      <c r="M16" s="87" t="s">
        <v>163</v>
      </c>
      <c r="N16" s="87"/>
      <c r="O16" s="87"/>
      <c r="P16" s="87"/>
      <c r="Q16" s="87"/>
      <c r="R16" s="87"/>
      <c r="S16" s="87"/>
      <c r="T16" s="87"/>
      <c r="U16" s="182"/>
      <c r="V16" s="182"/>
      <c r="W16" s="182"/>
      <c r="X16" s="182"/>
    </row>
    <row r="17" spans="1:22" s="4" customFormat="1" x14ac:dyDescent="0.25">
      <c r="A17" s="133" t="s">
        <v>235</v>
      </c>
      <c r="B17" s="133"/>
      <c r="C17" s="133"/>
      <c r="D17" s="133"/>
      <c r="E17" s="133"/>
      <c r="F17" s="133"/>
      <c r="G17" s="133"/>
      <c r="H17" s="133"/>
      <c r="I17" s="133"/>
      <c r="J17" s="133"/>
      <c r="K17" s="133"/>
      <c r="M17" s="87"/>
      <c r="N17" s="87"/>
      <c r="O17" s="87"/>
      <c r="P17" s="87"/>
      <c r="Q17" s="87"/>
      <c r="R17" s="87"/>
      <c r="S17" s="87"/>
      <c r="T17" s="87"/>
    </row>
    <row r="18" spans="1:22" s="4" customFormat="1" ht="12.75" customHeight="1" x14ac:dyDescent="0.25">
      <c r="A18" s="99" t="s">
        <v>58</v>
      </c>
      <c r="B18" s="99"/>
      <c r="C18" s="99"/>
      <c r="D18" s="99"/>
      <c r="E18" s="99"/>
      <c r="F18" s="99"/>
      <c r="G18" s="99"/>
      <c r="H18" s="99"/>
      <c r="I18" s="99"/>
      <c r="J18" s="99"/>
      <c r="K18" s="99"/>
    </row>
    <row r="19" spans="1:22" s="4" customFormat="1" ht="12.75" customHeight="1" x14ac:dyDescent="0.25">
      <c r="A19" s="190" t="s">
        <v>97</v>
      </c>
      <c r="B19" s="190"/>
      <c r="C19" s="190"/>
      <c r="D19" s="190"/>
      <c r="E19" s="190"/>
      <c r="F19" s="190"/>
      <c r="G19" s="190"/>
      <c r="H19" s="190"/>
      <c r="I19" s="190"/>
      <c r="J19" s="190"/>
      <c r="K19" s="190"/>
    </row>
    <row r="20" spans="1:22" s="4" customFormat="1" ht="12.75" customHeight="1" x14ac:dyDescent="0.25"/>
    <row r="21" spans="1:22" s="4" customFormat="1" ht="15" customHeight="1" x14ac:dyDescent="0.25">
      <c r="A21" s="100" t="s">
        <v>98</v>
      </c>
      <c r="B21" s="100"/>
      <c r="C21" s="100"/>
      <c r="D21" s="100"/>
      <c r="E21" s="100"/>
      <c r="F21" s="100"/>
      <c r="G21" s="100"/>
      <c r="H21" s="100"/>
      <c r="I21" s="100"/>
      <c r="J21" s="100"/>
      <c r="K21" s="100"/>
      <c r="L21" s="37"/>
      <c r="M21" s="221" t="s">
        <v>67</v>
      </c>
      <c r="N21" s="221"/>
      <c r="O21" s="221"/>
      <c r="P21" s="221"/>
      <c r="Q21" s="221"/>
      <c r="R21" s="221"/>
      <c r="S21" s="221"/>
      <c r="T21" s="221"/>
    </row>
    <row r="22" spans="1:22" s="4" customFormat="1" ht="12.75" customHeight="1" x14ac:dyDescent="0.25">
      <c r="A22" s="100"/>
      <c r="B22" s="100"/>
      <c r="C22" s="100"/>
      <c r="D22" s="100"/>
      <c r="E22" s="100"/>
      <c r="F22" s="100"/>
      <c r="G22" s="100"/>
      <c r="H22" s="100"/>
      <c r="I22" s="100"/>
      <c r="J22" s="100"/>
      <c r="K22" s="100"/>
      <c r="L22" s="37"/>
      <c r="M22" s="221"/>
      <c r="N22" s="221"/>
      <c r="O22" s="221"/>
      <c r="P22" s="221"/>
      <c r="Q22" s="221"/>
      <c r="R22" s="221"/>
      <c r="S22" s="221"/>
      <c r="T22" s="221"/>
    </row>
    <row r="23" spans="1:22" s="4" customFormat="1" x14ac:dyDescent="0.25">
      <c r="A23" s="100"/>
      <c r="B23" s="100"/>
      <c r="C23" s="100"/>
      <c r="D23" s="100"/>
      <c r="E23" s="100"/>
      <c r="F23" s="100"/>
      <c r="G23" s="100"/>
      <c r="H23" s="100"/>
      <c r="I23" s="100"/>
      <c r="J23" s="100"/>
      <c r="K23" s="100"/>
      <c r="L23" s="37"/>
      <c r="M23" s="221"/>
      <c r="N23" s="221"/>
      <c r="O23" s="221"/>
      <c r="P23" s="221"/>
      <c r="Q23" s="221"/>
      <c r="R23" s="221"/>
      <c r="S23" s="221"/>
      <c r="T23" s="221"/>
    </row>
    <row r="24" spans="1:22" s="4" customFormat="1" x14ac:dyDescent="0.25">
      <c r="A24" s="100"/>
      <c r="B24" s="100"/>
      <c r="C24" s="100"/>
      <c r="D24" s="100"/>
      <c r="E24" s="100"/>
      <c r="F24" s="100"/>
      <c r="G24" s="100"/>
      <c r="H24" s="100"/>
      <c r="I24" s="100"/>
      <c r="J24" s="100"/>
      <c r="K24" s="100"/>
      <c r="L24" s="37"/>
      <c r="M24" s="221"/>
      <c r="N24" s="221"/>
      <c r="O24" s="221"/>
      <c r="P24" s="221"/>
      <c r="Q24" s="221"/>
      <c r="R24" s="221"/>
      <c r="S24" s="221"/>
      <c r="T24" s="221"/>
    </row>
    <row r="25" spans="1:22" s="4" customFormat="1" x14ac:dyDescent="0.25">
      <c r="A25" s="100"/>
      <c r="B25" s="100"/>
      <c r="C25" s="100"/>
      <c r="D25" s="100"/>
      <c r="E25" s="100"/>
      <c r="F25" s="100"/>
      <c r="G25" s="100"/>
      <c r="H25" s="100"/>
      <c r="I25" s="100"/>
      <c r="J25" s="100"/>
      <c r="K25" s="100"/>
      <c r="L25" s="37"/>
      <c r="M25" s="221"/>
      <c r="N25" s="221"/>
      <c r="O25" s="221"/>
      <c r="P25" s="221"/>
      <c r="Q25" s="221"/>
      <c r="R25" s="221"/>
      <c r="S25" s="221"/>
      <c r="T25" s="221"/>
    </row>
    <row r="26" spans="1:22" s="4" customFormat="1" x14ac:dyDescent="0.25">
      <c r="A26" s="2"/>
      <c r="B26" s="2"/>
      <c r="C26" s="2"/>
      <c r="D26" s="2"/>
      <c r="E26" s="2"/>
      <c r="F26" s="2"/>
      <c r="G26" s="2"/>
      <c r="H26" s="2"/>
      <c r="I26" s="2"/>
      <c r="J26" s="2"/>
      <c r="K26" s="2"/>
      <c r="M26" s="22"/>
      <c r="N26" s="22"/>
      <c r="O26" s="22"/>
      <c r="P26" s="22"/>
      <c r="Q26" s="22"/>
      <c r="R26" s="22"/>
    </row>
    <row r="27" spans="1:22" s="4" customFormat="1" ht="15" customHeight="1" x14ac:dyDescent="0.25">
      <c r="A27" s="134" t="s">
        <v>14</v>
      </c>
      <c r="B27" s="134"/>
      <c r="C27" s="134"/>
      <c r="D27" s="134"/>
      <c r="E27" s="134"/>
      <c r="F27" s="134"/>
      <c r="G27" s="134"/>
      <c r="H27" s="134"/>
      <c r="I27" s="134"/>
      <c r="J27" s="134"/>
      <c r="K27" s="134"/>
      <c r="M27" s="110" t="s">
        <v>238</v>
      </c>
      <c r="N27" s="110"/>
      <c r="O27" s="110"/>
      <c r="P27" s="110"/>
      <c r="Q27" s="110"/>
      <c r="R27" s="110"/>
      <c r="S27" s="110"/>
      <c r="T27" s="110"/>
    </row>
    <row r="28" spans="1:22" s="4" customFormat="1" ht="12.75" customHeight="1" x14ac:dyDescent="0.25">
      <c r="A28" s="141"/>
      <c r="B28" s="104" t="s">
        <v>0</v>
      </c>
      <c r="C28" s="106"/>
      <c r="D28" s="104" t="s">
        <v>1</v>
      </c>
      <c r="E28" s="105"/>
      <c r="F28" s="106"/>
      <c r="G28" s="101" t="s">
        <v>16</v>
      </c>
      <c r="H28" s="101" t="s">
        <v>8</v>
      </c>
      <c r="I28" s="104" t="s">
        <v>2</v>
      </c>
      <c r="J28" s="105"/>
      <c r="K28" s="106"/>
      <c r="M28" s="110"/>
      <c r="N28" s="110"/>
      <c r="O28" s="110"/>
      <c r="P28" s="110"/>
      <c r="Q28" s="110"/>
      <c r="R28" s="110"/>
      <c r="S28" s="110"/>
      <c r="T28" s="110"/>
    </row>
    <row r="29" spans="1:22" s="4" customFormat="1" x14ac:dyDescent="0.25">
      <c r="A29" s="142"/>
      <c r="B29" s="107"/>
      <c r="C29" s="109"/>
      <c r="D29" s="107"/>
      <c r="E29" s="108"/>
      <c r="F29" s="109"/>
      <c r="G29" s="102"/>
      <c r="H29" s="102"/>
      <c r="I29" s="107"/>
      <c r="J29" s="108"/>
      <c r="K29" s="109"/>
      <c r="M29" s="110"/>
      <c r="N29" s="110"/>
      <c r="O29" s="110"/>
      <c r="P29" s="110"/>
      <c r="Q29" s="110"/>
      <c r="R29" s="110"/>
      <c r="S29" s="110"/>
      <c r="T29" s="110"/>
    </row>
    <row r="30" spans="1:22" s="4" customFormat="1" x14ac:dyDescent="0.25">
      <c r="A30" s="143"/>
      <c r="B30" s="3" t="s">
        <v>3</v>
      </c>
      <c r="C30" s="3" t="s">
        <v>4</v>
      </c>
      <c r="D30" s="3" t="s">
        <v>5</v>
      </c>
      <c r="E30" s="3" t="s">
        <v>6</v>
      </c>
      <c r="F30" s="3" t="s">
        <v>7</v>
      </c>
      <c r="G30" s="103"/>
      <c r="H30" s="103"/>
      <c r="I30" s="3" t="s">
        <v>9</v>
      </c>
      <c r="J30" s="3" t="s">
        <v>10</v>
      </c>
      <c r="K30" s="3" t="s">
        <v>11</v>
      </c>
      <c r="M30" s="110"/>
      <c r="N30" s="110"/>
      <c r="O30" s="110"/>
      <c r="P30" s="110"/>
      <c r="Q30" s="110"/>
      <c r="R30" s="110"/>
      <c r="S30" s="110"/>
      <c r="T30" s="110"/>
    </row>
    <row r="31" spans="1:22" s="4" customFormat="1" x14ac:dyDescent="0.25">
      <c r="A31" s="19" t="s">
        <v>12</v>
      </c>
      <c r="B31" s="53">
        <v>14</v>
      </c>
      <c r="C31" s="53">
        <v>14</v>
      </c>
      <c r="D31" s="54">
        <v>3</v>
      </c>
      <c r="E31" s="54">
        <v>3</v>
      </c>
      <c r="F31" s="54">
        <v>2</v>
      </c>
      <c r="G31" s="54"/>
      <c r="H31" s="54">
        <v>0</v>
      </c>
      <c r="I31" s="54">
        <v>2</v>
      </c>
      <c r="J31" s="54">
        <v>1</v>
      </c>
      <c r="K31" s="54">
        <v>13</v>
      </c>
      <c r="L31" s="42"/>
      <c r="M31" s="110"/>
      <c r="N31" s="110"/>
      <c r="O31" s="110"/>
      <c r="P31" s="110"/>
      <c r="Q31" s="110"/>
      <c r="R31" s="110"/>
      <c r="S31" s="110"/>
      <c r="T31" s="110"/>
      <c r="U31" s="144" t="str">
        <f t="shared" ref="U31" si="0">IF(SUM(B31:K31)=52,"Corect","Suma trebuie să fie 52")</f>
        <v>Corect</v>
      </c>
      <c r="V31" s="144"/>
    </row>
    <row r="32" spans="1:22" s="4" customFormat="1" x14ac:dyDescent="0.25">
      <c r="A32" s="19" t="s">
        <v>13</v>
      </c>
      <c r="B32" s="53">
        <v>14</v>
      </c>
      <c r="C32" s="53">
        <v>12</v>
      </c>
      <c r="D32" s="54">
        <v>3</v>
      </c>
      <c r="E32" s="54">
        <v>3</v>
      </c>
      <c r="F32" s="54">
        <v>2</v>
      </c>
      <c r="G32" s="54"/>
      <c r="H32" s="54">
        <v>2</v>
      </c>
      <c r="I32" s="54">
        <v>2</v>
      </c>
      <c r="J32" s="54">
        <v>1</v>
      </c>
      <c r="K32" s="54">
        <v>13</v>
      </c>
      <c r="M32" s="110"/>
      <c r="N32" s="110"/>
      <c r="O32" s="110"/>
      <c r="P32" s="110"/>
      <c r="Q32" s="110"/>
      <c r="R32" s="110"/>
      <c r="S32" s="110"/>
      <c r="T32" s="110"/>
      <c r="U32" s="144" t="str">
        <f t="shared" ref="U32" si="1">IF(SUM(B32:K32)=52,"Corect","Suma trebuie să fie 52")</f>
        <v>Corect</v>
      </c>
      <c r="V32" s="144"/>
    </row>
    <row r="33" spans="1:25" x14ac:dyDescent="0.2">
      <c r="A33" s="96" t="s">
        <v>84</v>
      </c>
      <c r="B33" s="96"/>
      <c r="C33" s="96"/>
      <c r="D33" s="96"/>
      <c r="E33" s="96"/>
      <c r="F33" s="96"/>
      <c r="G33" s="96"/>
      <c r="H33" s="96"/>
      <c r="I33" s="96"/>
      <c r="J33" s="96"/>
      <c r="K33" s="96"/>
      <c r="L33" s="96"/>
      <c r="M33" s="96"/>
      <c r="N33" s="96"/>
      <c r="O33" s="96"/>
      <c r="P33" s="96"/>
      <c r="Q33" s="96"/>
      <c r="R33" s="96"/>
      <c r="S33" s="96"/>
      <c r="T33" s="96"/>
    </row>
    <row r="34" spans="1:25" x14ac:dyDescent="0.2">
      <c r="A34" s="96"/>
      <c r="B34" s="96"/>
      <c r="C34" s="96"/>
      <c r="D34" s="96"/>
      <c r="E34" s="96"/>
      <c r="F34" s="96"/>
      <c r="G34" s="96"/>
      <c r="H34" s="96"/>
      <c r="I34" s="96"/>
      <c r="J34" s="96"/>
      <c r="K34" s="96"/>
      <c r="L34" s="96"/>
      <c r="M34" s="96"/>
      <c r="N34" s="96"/>
      <c r="O34" s="96"/>
      <c r="P34" s="96"/>
      <c r="Q34" s="96"/>
      <c r="R34" s="96"/>
      <c r="S34" s="96"/>
      <c r="T34" s="96"/>
      <c r="U34" s="80" t="s">
        <v>156</v>
      </c>
      <c r="V34" s="80"/>
      <c r="W34" s="80"/>
      <c r="X34" s="80"/>
      <c r="Y34" s="80"/>
    </row>
    <row r="35" spans="1:25" ht="12.75" customHeight="1" x14ac:dyDescent="0.2">
      <c r="A35" s="222" t="s">
        <v>239</v>
      </c>
      <c r="B35" s="223"/>
      <c r="C35" s="223"/>
      <c r="D35" s="223"/>
      <c r="E35" s="223"/>
      <c r="F35" s="223"/>
      <c r="G35" s="223"/>
      <c r="H35" s="223"/>
      <c r="I35" s="223"/>
      <c r="J35" s="224"/>
      <c r="K35" s="222" t="s">
        <v>240</v>
      </c>
      <c r="L35" s="223"/>
      <c r="M35" s="223"/>
      <c r="N35" s="223"/>
      <c r="O35" s="223"/>
      <c r="P35" s="223"/>
      <c r="Q35" s="223"/>
      <c r="R35" s="223"/>
      <c r="S35" s="223"/>
      <c r="T35" s="224"/>
      <c r="U35" s="80"/>
      <c r="V35" s="80"/>
      <c r="W35" s="80"/>
      <c r="X35" s="80"/>
      <c r="Y35" s="80"/>
    </row>
    <row r="36" spans="1:25" x14ac:dyDescent="0.2">
      <c r="A36" s="225"/>
      <c r="B36" s="226"/>
      <c r="C36" s="226"/>
      <c r="D36" s="226"/>
      <c r="E36" s="226"/>
      <c r="F36" s="226"/>
      <c r="G36" s="226"/>
      <c r="H36" s="226"/>
      <c r="I36" s="226"/>
      <c r="J36" s="227"/>
      <c r="K36" s="225"/>
      <c r="L36" s="226"/>
      <c r="M36" s="226"/>
      <c r="N36" s="226"/>
      <c r="O36" s="226"/>
      <c r="P36" s="226"/>
      <c r="Q36" s="226"/>
      <c r="R36" s="226"/>
      <c r="S36" s="226"/>
      <c r="T36" s="227"/>
      <c r="U36" s="80"/>
      <c r="V36" s="80"/>
      <c r="W36" s="80"/>
      <c r="X36" s="80"/>
      <c r="Y36" s="80"/>
    </row>
    <row r="37" spans="1:25" x14ac:dyDescent="0.2">
      <c r="A37" s="225"/>
      <c r="B37" s="226"/>
      <c r="C37" s="226"/>
      <c r="D37" s="226"/>
      <c r="E37" s="226"/>
      <c r="F37" s="226"/>
      <c r="G37" s="226"/>
      <c r="H37" s="226"/>
      <c r="I37" s="226"/>
      <c r="J37" s="227"/>
      <c r="K37" s="225"/>
      <c r="L37" s="226"/>
      <c r="M37" s="226"/>
      <c r="N37" s="226"/>
      <c r="O37" s="226"/>
      <c r="P37" s="226"/>
      <c r="Q37" s="226"/>
      <c r="R37" s="226"/>
      <c r="S37" s="226"/>
      <c r="T37" s="227"/>
      <c r="U37" s="80"/>
      <c r="V37" s="80"/>
      <c r="W37" s="80"/>
      <c r="X37" s="80"/>
      <c r="Y37" s="80"/>
    </row>
    <row r="38" spans="1:25" x14ac:dyDescent="0.2">
      <c r="A38" s="225"/>
      <c r="B38" s="226"/>
      <c r="C38" s="226"/>
      <c r="D38" s="226"/>
      <c r="E38" s="226"/>
      <c r="F38" s="226"/>
      <c r="G38" s="226"/>
      <c r="H38" s="226"/>
      <c r="I38" s="226"/>
      <c r="J38" s="227"/>
      <c r="K38" s="225"/>
      <c r="L38" s="226"/>
      <c r="M38" s="226"/>
      <c r="N38" s="226"/>
      <c r="O38" s="226"/>
      <c r="P38" s="226"/>
      <c r="Q38" s="226"/>
      <c r="R38" s="226"/>
      <c r="S38" s="226"/>
      <c r="T38" s="227"/>
      <c r="U38" s="80"/>
      <c r="V38" s="80"/>
      <c r="W38" s="80"/>
      <c r="X38" s="80"/>
      <c r="Y38" s="80"/>
    </row>
    <row r="39" spans="1:25" x14ac:dyDescent="0.2">
      <c r="A39" s="225"/>
      <c r="B39" s="226"/>
      <c r="C39" s="226"/>
      <c r="D39" s="226"/>
      <c r="E39" s="226"/>
      <c r="F39" s="226"/>
      <c r="G39" s="226"/>
      <c r="H39" s="226"/>
      <c r="I39" s="226"/>
      <c r="J39" s="227"/>
      <c r="K39" s="225"/>
      <c r="L39" s="226"/>
      <c r="M39" s="226"/>
      <c r="N39" s="226"/>
      <c r="O39" s="226"/>
      <c r="P39" s="226"/>
      <c r="Q39" s="226"/>
      <c r="R39" s="226"/>
      <c r="S39" s="226"/>
      <c r="T39" s="227"/>
      <c r="U39" s="80"/>
      <c r="V39" s="80"/>
      <c r="W39" s="80"/>
      <c r="X39" s="80"/>
      <c r="Y39" s="80"/>
    </row>
    <row r="40" spans="1:25" x14ac:dyDescent="0.2">
      <c r="A40" s="225"/>
      <c r="B40" s="226"/>
      <c r="C40" s="226"/>
      <c r="D40" s="226"/>
      <c r="E40" s="226"/>
      <c r="F40" s="226"/>
      <c r="G40" s="226"/>
      <c r="H40" s="226"/>
      <c r="I40" s="226"/>
      <c r="J40" s="227"/>
      <c r="K40" s="225"/>
      <c r="L40" s="226"/>
      <c r="M40" s="226"/>
      <c r="N40" s="226"/>
      <c r="O40" s="226"/>
      <c r="P40" s="226"/>
      <c r="Q40" s="226"/>
      <c r="R40" s="226"/>
      <c r="S40" s="226"/>
      <c r="T40" s="227"/>
      <c r="U40" s="80"/>
      <c r="V40" s="80"/>
      <c r="W40" s="80"/>
      <c r="X40" s="80"/>
      <c r="Y40" s="80"/>
    </row>
    <row r="41" spans="1:25" x14ac:dyDescent="0.2">
      <c r="A41" s="225"/>
      <c r="B41" s="226"/>
      <c r="C41" s="226"/>
      <c r="D41" s="226"/>
      <c r="E41" s="226"/>
      <c r="F41" s="226"/>
      <c r="G41" s="226"/>
      <c r="H41" s="226"/>
      <c r="I41" s="226"/>
      <c r="J41" s="227"/>
      <c r="K41" s="225"/>
      <c r="L41" s="226"/>
      <c r="M41" s="226"/>
      <c r="N41" s="226"/>
      <c r="O41" s="226"/>
      <c r="P41" s="226"/>
      <c r="Q41" s="226"/>
      <c r="R41" s="226"/>
      <c r="S41" s="226"/>
      <c r="T41" s="227"/>
      <c r="U41" s="80"/>
      <c r="V41" s="80"/>
      <c r="W41" s="80"/>
      <c r="X41" s="80"/>
      <c r="Y41" s="80"/>
    </row>
    <row r="42" spans="1:25" x14ac:dyDescent="0.2">
      <c r="A42" s="225"/>
      <c r="B42" s="226"/>
      <c r="C42" s="226"/>
      <c r="D42" s="226"/>
      <c r="E42" s="226"/>
      <c r="F42" s="226"/>
      <c r="G42" s="226"/>
      <c r="H42" s="226"/>
      <c r="I42" s="226"/>
      <c r="J42" s="227"/>
      <c r="K42" s="225"/>
      <c r="L42" s="226"/>
      <c r="M42" s="226"/>
      <c r="N42" s="226"/>
      <c r="O42" s="226"/>
      <c r="P42" s="226"/>
      <c r="Q42" s="226"/>
      <c r="R42" s="226"/>
      <c r="S42" s="226"/>
      <c r="T42" s="227"/>
      <c r="U42" s="80"/>
      <c r="V42" s="80"/>
      <c r="W42" s="80"/>
      <c r="X42" s="80"/>
      <c r="Y42" s="80"/>
    </row>
    <row r="43" spans="1:25" x14ac:dyDescent="0.2">
      <c r="A43" s="225"/>
      <c r="B43" s="226"/>
      <c r="C43" s="226"/>
      <c r="D43" s="226"/>
      <c r="E43" s="226"/>
      <c r="F43" s="226"/>
      <c r="G43" s="226"/>
      <c r="H43" s="226"/>
      <c r="I43" s="226"/>
      <c r="J43" s="227"/>
      <c r="K43" s="225"/>
      <c r="L43" s="226"/>
      <c r="M43" s="226"/>
      <c r="N43" s="226"/>
      <c r="O43" s="226"/>
      <c r="P43" s="226"/>
      <c r="Q43" s="226"/>
      <c r="R43" s="226"/>
      <c r="S43" s="226"/>
      <c r="T43" s="227"/>
      <c r="U43" s="80"/>
      <c r="V43" s="80"/>
      <c r="W43" s="80"/>
      <c r="X43" s="80"/>
      <c r="Y43" s="80"/>
    </row>
    <row r="44" spans="1:25" x14ac:dyDescent="0.2">
      <c r="A44" s="225"/>
      <c r="B44" s="226"/>
      <c r="C44" s="226"/>
      <c r="D44" s="226"/>
      <c r="E44" s="226"/>
      <c r="F44" s="226"/>
      <c r="G44" s="226"/>
      <c r="H44" s="226"/>
      <c r="I44" s="226"/>
      <c r="J44" s="227"/>
      <c r="K44" s="225"/>
      <c r="L44" s="226"/>
      <c r="M44" s="226"/>
      <c r="N44" s="226"/>
      <c r="O44" s="226"/>
      <c r="P44" s="226"/>
      <c r="Q44" s="226"/>
      <c r="R44" s="226"/>
      <c r="S44" s="226"/>
      <c r="T44" s="227"/>
      <c r="U44" s="80"/>
      <c r="V44" s="80"/>
      <c r="W44" s="80"/>
      <c r="X44" s="80"/>
      <c r="Y44" s="80"/>
    </row>
    <row r="45" spans="1:25" x14ac:dyDescent="0.2">
      <c r="A45" s="225"/>
      <c r="B45" s="226"/>
      <c r="C45" s="226"/>
      <c r="D45" s="226"/>
      <c r="E45" s="226"/>
      <c r="F45" s="226"/>
      <c r="G45" s="226"/>
      <c r="H45" s="226"/>
      <c r="I45" s="226"/>
      <c r="J45" s="227"/>
      <c r="K45" s="225"/>
      <c r="L45" s="226"/>
      <c r="M45" s="226"/>
      <c r="N45" s="226"/>
      <c r="O45" s="226"/>
      <c r="P45" s="226"/>
      <c r="Q45" s="226"/>
      <c r="R45" s="226"/>
      <c r="S45" s="226"/>
      <c r="T45" s="227"/>
      <c r="U45" s="80"/>
      <c r="V45" s="80"/>
      <c r="W45" s="80"/>
      <c r="X45" s="80"/>
      <c r="Y45" s="80"/>
    </row>
    <row r="46" spans="1:25" x14ac:dyDescent="0.2">
      <c r="A46" s="225"/>
      <c r="B46" s="226"/>
      <c r="C46" s="226"/>
      <c r="D46" s="226"/>
      <c r="E46" s="226"/>
      <c r="F46" s="226"/>
      <c r="G46" s="226"/>
      <c r="H46" s="226"/>
      <c r="I46" s="226"/>
      <c r="J46" s="227"/>
      <c r="K46" s="225"/>
      <c r="L46" s="226"/>
      <c r="M46" s="226"/>
      <c r="N46" s="226"/>
      <c r="O46" s="226"/>
      <c r="P46" s="226"/>
      <c r="Q46" s="226"/>
      <c r="R46" s="226"/>
      <c r="S46" s="226"/>
      <c r="T46" s="227"/>
      <c r="U46" s="80"/>
      <c r="V46" s="80"/>
      <c r="W46" s="80"/>
      <c r="X46" s="80"/>
      <c r="Y46" s="80"/>
    </row>
    <row r="47" spans="1:25" x14ac:dyDescent="0.2">
      <c r="A47" s="225"/>
      <c r="B47" s="226"/>
      <c r="C47" s="226"/>
      <c r="D47" s="226"/>
      <c r="E47" s="226"/>
      <c r="F47" s="226"/>
      <c r="G47" s="226"/>
      <c r="H47" s="226"/>
      <c r="I47" s="226"/>
      <c r="J47" s="227"/>
      <c r="K47" s="225"/>
      <c r="L47" s="226"/>
      <c r="M47" s="226"/>
      <c r="N47" s="226"/>
      <c r="O47" s="226"/>
      <c r="P47" s="226"/>
      <c r="Q47" s="226"/>
      <c r="R47" s="226"/>
      <c r="S47" s="226"/>
      <c r="T47" s="227"/>
      <c r="U47" s="80"/>
      <c r="V47" s="80"/>
      <c r="W47" s="80"/>
      <c r="X47" s="80"/>
      <c r="Y47" s="80"/>
    </row>
    <row r="48" spans="1:25" x14ac:dyDescent="0.2">
      <c r="A48" s="225"/>
      <c r="B48" s="226"/>
      <c r="C48" s="226"/>
      <c r="D48" s="226"/>
      <c r="E48" s="226"/>
      <c r="F48" s="226"/>
      <c r="G48" s="226"/>
      <c r="H48" s="226"/>
      <c r="I48" s="226"/>
      <c r="J48" s="227"/>
      <c r="K48" s="225"/>
      <c r="L48" s="226"/>
      <c r="M48" s="226"/>
      <c r="N48" s="226"/>
      <c r="O48" s="226"/>
      <c r="P48" s="226"/>
      <c r="Q48" s="226"/>
      <c r="R48" s="226"/>
      <c r="S48" s="226"/>
      <c r="T48" s="227"/>
      <c r="U48" s="80"/>
      <c r="V48" s="80"/>
      <c r="W48" s="80"/>
      <c r="X48" s="80"/>
      <c r="Y48" s="80"/>
    </row>
    <row r="49" spans="1:25" x14ac:dyDescent="0.2">
      <c r="A49" s="225"/>
      <c r="B49" s="226"/>
      <c r="C49" s="226"/>
      <c r="D49" s="226"/>
      <c r="E49" s="226"/>
      <c r="F49" s="226"/>
      <c r="G49" s="226"/>
      <c r="H49" s="226"/>
      <c r="I49" s="226"/>
      <c r="J49" s="227"/>
      <c r="K49" s="225"/>
      <c r="L49" s="226"/>
      <c r="M49" s="226"/>
      <c r="N49" s="226"/>
      <c r="O49" s="226"/>
      <c r="P49" s="226"/>
      <c r="Q49" s="226"/>
      <c r="R49" s="226"/>
      <c r="S49" s="226"/>
      <c r="T49" s="227"/>
      <c r="U49" s="80"/>
      <c r="V49" s="80"/>
      <c r="W49" s="80"/>
      <c r="X49" s="80"/>
      <c r="Y49" s="80"/>
    </row>
    <row r="50" spans="1:25" x14ac:dyDescent="0.2">
      <c r="A50" s="225"/>
      <c r="B50" s="226"/>
      <c r="C50" s="226"/>
      <c r="D50" s="226"/>
      <c r="E50" s="226"/>
      <c r="F50" s="226"/>
      <c r="G50" s="226"/>
      <c r="H50" s="226"/>
      <c r="I50" s="226"/>
      <c r="J50" s="227"/>
      <c r="K50" s="225"/>
      <c r="L50" s="226"/>
      <c r="M50" s="226"/>
      <c r="N50" s="226"/>
      <c r="O50" s="226"/>
      <c r="P50" s="226"/>
      <c r="Q50" s="226"/>
      <c r="R50" s="226"/>
      <c r="S50" s="226"/>
      <c r="T50" s="227"/>
      <c r="U50" s="80"/>
      <c r="V50" s="80"/>
      <c r="W50" s="80"/>
      <c r="X50" s="80"/>
      <c r="Y50" s="80"/>
    </row>
    <row r="51" spans="1:25" x14ac:dyDescent="0.2">
      <c r="A51" s="225"/>
      <c r="B51" s="226"/>
      <c r="C51" s="226"/>
      <c r="D51" s="226"/>
      <c r="E51" s="226"/>
      <c r="F51" s="226"/>
      <c r="G51" s="226"/>
      <c r="H51" s="226"/>
      <c r="I51" s="226"/>
      <c r="J51" s="227"/>
      <c r="K51" s="225"/>
      <c r="L51" s="226"/>
      <c r="M51" s="226"/>
      <c r="N51" s="226"/>
      <c r="O51" s="226"/>
      <c r="P51" s="226"/>
      <c r="Q51" s="226"/>
      <c r="R51" s="226"/>
      <c r="S51" s="226"/>
      <c r="T51" s="227"/>
      <c r="U51" s="80"/>
      <c r="V51" s="80"/>
      <c r="W51" s="80"/>
      <c r="X51" s="80"/>
      <c r="Y51" s="80"/>
    </row>
    <row r="52" spans="1:25" x14ac:dyDescent="0.2">
      <c r="A52" s="225"/>
      <c r="B52" s="226"/>
      <c r="C52" s="226"/>
      <c r="D52" s="226"/>
      <c r="E52" s="226"/>
      <c r="F52" s="226"/>
      <c r="G52" s="226"/>
      <c r="H52" s="226"/>
      <c r="I52" s="226"/>
      <c r="J52" s="227"/>
      <c r="K52" s="225"/>
      <c r="L52" s="226"/>
      <c r="M52" s="226"/>
      <c r="N52" s="226"/>
      <c r="O52" s="226"/>
      <c r="P52" s="226"/>
      <c r="Q52" s="226"/>
      <c r="R52" s="226"/>
      <c r="S52" s="226"/>
      <c r="T52" s="227"/>
      <c r="U52" s="80"/>
      <c r="V52" s="80"/>
      <c r="W52" s="80"/>
      <c r="X52" s="80"/>
      <c r="Y52" s="80"/>
    </row>
    <row r="53" spans="1:25" x14ac:dyDescent="0.2">
      <c r="A53" s="225"/>
      <c r="B53" s="226"/>
      <c r="C53" s="226"/>
      <c r="D53" s="226"/>
      <c r="E53" s="226"/>
      <c r="F53" s="226"/>
      <c r="G53" s="226"/>
      <c r="H53" s="226"/>
      <c r="I53" s="226"/>
      <c r="J53" s="227"/>
      <c r="K53" s="225"/>
      <c r="L53" s="226"/>
      <c r="M53" s="226"/>
      <c r="N53" s="226"/>
      <c r="O53" s="226"/>
      <c r="P53" s="226"/>
      <c r="Q53" s="226"/>
      <c r="R53" s="226"/>
      <c r="S53" s="226"/>
      <c r="T53" s="227"/>
      <c r="U53" s="80"/>
      <c r="V53" s="80"/>
      <c r="W53" s="80"/>
      <c r="X53" s="80"/>
      <c r="Y53" s="80"/>
    </row>
    <row r="54" spans="1:25" x14ac:dyDescent="0.2">
      <c r="A54" s="225"/>
      <c r="B54" s="226"/>
      <c r="C54" s="226"/>
      <c r="D54" s="226"/>
      <c r="E54" s="226"/>
      <c r="F54" s="226"/>
      <c r="G54" s="226"/>
      <c r="H54" s="226"/>
      <c r="I54" s="226"/>
      <c r="J54" s="227"/>
      <c r="K54" s="225"/>
      <c r="L54" s="226"/>
      <c r="M54" s="226"/>
      <c r="N54" s="226"/>
      <c r="O54" s="226"/>
      <c r="P54" s="226"/>
      <c r="Q54" s="226"/>
      <c r="R54" s="226"/>
      <c r="S54" s="226"/>
      <c r="T54" s="227"/>
      <c r="U54" s="80"/>
      <c r="V54" s="80"/>
      <c r="W54" s="80"/>
      <c r="X54" s="80"/>
      <c r="Y54" s="80"/>
    </row>
    <row r="55" spans="1:25" x14ac:dyDescent="0.2">
      <c r="A55" s="225"/>
      <c r="B55" s="226"/>
      <c r="C55" s="226"/>
      <c r="D55" s="226"/>
      <c r="E55" s="226"/>
      <c r="F55" s="226"/>
      <c r="G55" s="226"/>
      <c r="H55" s="226"/>
      <c r="I55" s="226"/>
      <c r="J55" s="227"/>
      <c r="K55" s="225"/>
      <c r="L55" s="226"/>
      <c r="M55" s="226"/>
      <c r="N55" s="226"/>
      <c r="O55" s="226"/>
      <c r="P55" s="226"/>
      <c r="Q55" s="226"/>
      <c r="R55" s="226"/>
      <c r="S55" s="226"/>
      <c r="T55" s="227"/>
      <c r="U55" s="80"/>
      <c r="V55" s="80"/>
      <c r="W55" s="80"/>
      <c r="X55" s="80"/>
      <c r="Y55" s="80"/>
    </row>
    <row r="56" spans="1:25" x14ac:dyDescent="0.2">
      <c r="A56" s="225"/>
      <c r="B56" s="226"/>
      <c r="C56" s="226"/>
      <c r="D56" s="226"/>
      <c r="E56" s="226"/>
      <c r="F56" s="226"/>
      <c r="G56" s="226"/>
      <c r="H56" s="226"/>
      <c r="I56" s="226"/>
      <c r="J56" s="227"/>
      <c r="K56" s="225"/>
      <c r="L56" s="226"/>
      <c r="M56" s="226"/>
      <c r="N56" s="226"/>
      <c r="O56" s="226"/>
      <c r="P56" s="226"/>
      <c r="Q56" s="226"/>
      <c r="R56" s="226"/>
      <c r="S56" s="226"/>
      <c r="T56" s="227"/>
      <c r="U56" s="80"/>
      <c r="V56" s="80"/>
      <c r="W56" s="80"/>
      <c r="X56" s="80"/>
      <c r="Y56" s="80"/>
    </row>
    <row r="57" spans="1:25" x14ac:dyDescent="0.2">
      <c r="A57" s="225"/>
      <c r="B57" s="226"/>
      <c r="C57" s="226"/>
      <c r="D57" s="226"/>
      <c r="E57" s="226"/>
      <c r="F57" s="226"/>
      <c r="G57" s="226"/>
      <c r="H57" s="226"/>
      <c r="I57" s="226"/>
      <c r="J57" s="227"/>
      <c r="K57" s="225"/>
      <c r="L57" s="226"/>
      <c r="M57" s="226"/>
      <c r="N57" s="226"/>
      <c r="O57" s="226"/>
      <c r="P57" s="226"/>
      <c r="Q57" s="226"/>
      <c r="R57" s="226"/>
      <c r="S57" s="226"/>
      <c r="T57" s="227"/>
      <c r="U57" s="80"/>
      <c r="V57" s="80"/>
      <c r="W57" s="80"/>
      <c r="X57" s="80"/>
      <c r="Y57" s="80"/>
    </row>
    <row r="58" spans="1:25" x14ac:dyDescent="0.2">
      <c r="A58" s="225"/>
      <c r="B58" s="226"/>
      <c r="C58" s="226"/>
      <c r="D58" s="226"/>
      <c r="E58" s="226"/>
      <c r="F58" s="226"/>
      <c r="G58" s="226"/>
      <c r="H58" s="226"/>
      <c r="I58" s="226"/>
      <c r="J58" s="227"/>
      <c r="K58" s="225"/>
      <c r="L58" s="226"/>
      <c r="M58" s="226"/>
      <c r="N58" s="226"/>
      <c r="O58" s="226"/>
      <c r="P58" s="226"/>
      <c r="Q58" s="226"/>
      <c r="R58" s="226"/>
      <c r="S58" s="226"/>
      <c r="T58" s="227"/>
      <c r="U58" s="80"/>
      <c r="V58" s="80"/>
      <c r="W58" s="80"/>
      <c r="X58" s="80"/>
      <c r="Y58" s="80"/>
    </row>
    <row r="59" spans="1:25" x14ac:dyDescent="0.2">
      <c r="A59" s="225"/>
      <c r="B59" s="226"/>
      <c r="C59" s="226"/>
      <c r="D59" s="226"/>
      <c r="E59" s="226"/>
      <c r="F59" s="226"/>
      <c r="G59" s="226"/>
      <c r="H59" s="226"/>
      <c r="I59" s="226"/>
      <c r="J59" s="227"/>
      <c r="K59" s="225"/>
      <c r="L59" s="226"/>
      <c r="M59" s="226"/>
      <c r="N59" s="226"/>
      <c r="O59" s="226"/>
      <c r="P59" s="226"/>
      <c r="Q59" s="226"/>
      <c r="R59" s="226"/>
      <c r="S59" s="226"/>
      <c r="T59" s="227"/>
      <c r="U59" s="80"/>
      <c r="V59" s="80"/>
      <c r="W59" s="80"/>
      <c r="X59" s="80"/>
      <c r="Y59" s="80"/>
    </row>
    <row r="60" spans="1:25" x14ac:dyDescent="0.2">
      <c r="A60" s="225"/>
      <c r="B60" s="226"/>
      <c r="C60" s="226"/>
      <c r="D60" s="226"/>
      <c r="E60" s="226"/>
      <c r="F60" s="226"/>
      <c r="G60" s="226"/>
      <c r="H60" s="226"/>
      <c r="I60" s="226"/>
      <c r="J60" s="227"/>
      <c r="K60" s="225"/>
      <c r="L60" s="226"/>
      <c r="M60" s="226"/>
      <c r="N60" s="226"/>
      <c r="O60" s="226"/>
      <c r="P60" s="226"/>
      <c r="Q60" s="226"/>
      <c r="R60" s="226"/>
      <c r="S60" s="226"/>
      <c r="T60" s="227"/>
      <c r="U60" s="80"/>
      <c r="V60" s="80"/>
      <c r="W60" s="80"/>
      <c r="X60" s="80"/>
      <c r="Y60" s="80"/>
    </row>
    <row r="61" spans="1:25" x14ac:dyDescent="0.2">
      <c r="A61" s="225"/>
      <c r="B61" s="226"/>
      <c r="C61" s="226"/>
      <c r="D61" s="226"/>
      <c r="E61" s="226"/>
      <c r="F61" s="226"/>
      <c r="G61" s="226"/>
      <c r="H61" s="226"/>
      <c r="I61" s="226"/>
      <c r="J61" s="227"/>
      <c r="K61" s="225"/>
      <c r="L61" s="226"/>
      <c r="M61" s="226"/>
      <c r="N61" s="226"/>
      <c r="O61" s="226"/>
      <c r="P61" s="226"/>
      <c r="Q61" s="226"/>
      <c r="R61" s="226"/>
      <c r="S61" s="226"/>
      <c r="T61" s="227"/>
      <c r="U61" s="80"/>
      <c r="V61" s="80"/>
      <c r="W61" s="80"/>
      <c r="X61" s="80"/>
      <c r="Y61" s="80"/>
    </row>
    <row r="62" spans="1:25" x14ac:dyDescent="0.2">
      <c r="A62" s="225"/>
      <c r="B62" s="226"/>
      <c r="C62" s="226"/>
      <c r="D62" s="226"/>
      <c r="E62" s="226"/>
      <c r="F62" s="226"/>
      <c r="G62" s="226"/>
      <c r="H62" s="226"/>
      <c r="I62" s="226"/>
      <c r="J62" s="227"/>
      <c r="K62" s="225"/>
      <c r="L62" s="226"/>
      <c r="M62" s="226"/>
      <c r="N62" s="226"/>
      <c r="O62" s="226"/>
      <c r="P62" s="226"/>
      <c r="Q62" s="226"/>
      <c r="R62" s="226"/>
      <c r="S62" s="226"/>
      <c r="T62" s="227"/>
      <c r="U62" s="80"/>
      <c r="V62" s="80"/>
      <c r="W62" s="80"/>
      <c r="X62" s="80"/>
      <c r="Y62" s="80"/>
    </row>
    <row r="63" spans="1:25" x14ac:dyDescent="0.2">
      <c r="A63" s="225"/>
      <c r="B63" s="226"/>
      <c r="C63" s="226"/>
      <c r="D63" s="226"/>
      <c r="E63" s="226"/>
      <c r="F63" s="226"/>
      <c r="G63" s="226"/>
      <c r="H63" s="226"/>
      <c r="I63" s="226"/>
      <c r="J63" s="227"/>
      <c r="K63" s="225"/>
      <c r="L63" s="226"/>
      <c r="M63" s="226"/>
      <c r="N63" s="226"/>
      <c r="O63" s="226"/>
      <c r="P63" s="226"/>
      <c r="Q63" s="226"/>
      <c r="R63" s="226"/>
      <c r="S63" s="226"/>
      <c r="T63" s="227"/>
      <c r="U63" s="80"/>
      <c r="V63" s="80"/>
      <c r="W63" s="80"/>
      <c r="X63" s="80"/>
      <c r="Y63" s="80"/>
    </row>
    <row r="64" spans="1:25" x14ac:dyDescent="0.2">
      <c r="A64" s="225"/>
      <c r="B64" s="226"/>
      <c r="C64" s="226"/>
      <c r="D64" s="226"/>
      <c r="E64" s="226"/>
      <c r="F64" s="226"/>
      <c r="G64" s="226"/>
      <c r="H64" s="226"/>
      <c r="I64" s="226"/>
      <c r="J64" s="227"/>
      <c r="K64" s="225"/>
      <c r="L64" s="226"/>
      <c r="M64" s="226"/>
      <c r="N64" s="226"/>
      <c r="O64" s="226"/>
      <c r="P64" s="226"/>
      <c r="Q64" s="226"/>
      <c r="R64" s="226"/>
      <c r="S64" s="226"/>
      <c r="T64" s="227"/>
      <c r="U64" s="80"/>
      <c r="V64" s="80"/>
      <c r="W64" s="80"/>
      <c r="X64" s="80"/>
      <c r="Y64" s="80"/>
    </row>
    <row r="65" spans="1:26" x14ac:dyDescent="0.2">
      <c r="A65" s="225"/>
      <c r="B65" s="226"/>
      <c r="C65" s="226"/>
      <c r="D65" s="226"/>
      <c r="E65" s="226"/>
      <c r="F65" s="226"/>
      <c r="G65" s="226"/>
      <c r="H65" s="226"/>
      <c r="I65" s="226"/>
      <c r="J65" s="227"/>
      <c r="K65" s="225"/>
      <c r="L65" s="226"/>
      <c r="M65" s="226"/>
      <c r="N65" s="226"/>
      <c r="O65" s="226"/>
      <c r="P65" s="226"/>
      <c r="Q65" s="226"/>
      <c r="R65" s="226"/>
      <c r="S65" s="226"/>
      <c r="T65" s="227"/>
      <c r="U65" s="80"/>
      <c r="V65" s="80"/>
      <c r="W65" s="80"/>
      <c r="X65" s="80"/>
      <c r="Y65" s="80"/>
    </row>
    <row r="66" spans="1:26" x14ac:dyDescent="0.2">
      <c r="A66" s="225"/>
      <c r="B66" s="226"/>
      <c r="C66" s="226"/>
      <c r="D66" s="226"/>
      <c r="E66" s="226"/>
      <c r="F66" s="226"/>
      <c r="G66" s="226"/>
      <c r="H66" s="226"/>
      <c r="I66" s="226"/>
      <c r="J66" s="227"/>
      <c r="K66" s="225"/>
      <c r="L66" s="226"/>
      <c r="M66" s="226"/>
      <c r="N66" s="226"/>
      <c r="O66" s="226"/>
      <c r="P66" s="226"/>
      <c r="Q66" s="226"/>
      <c r="R66" s="226"/>
      <c r="S66" s="226"/>
      <c r="T66" s="227"/>
      <c r="U66" s="80"/>
      <c r="V66" s="80"/>
      <c r="W66" s="80"/>
      <c r="X66" s="80"/>
      <c r="Y66" s="80"/>
    </row>
    <row r="67" spans="1:26" x14ac:dyDescent="0.2">
      <c r="A67" s="225"/>
      <c r="B67" s="226"/>
      <c r="C67" s="226"/>
      <c r="D67" s="226"/>
      <c r="E67" s="226"/>
      <c r="F67" s="226"/>
      <c r="G67" s="226"/>
      <c r="H67" s="226"/>
      <c r="I67" s="226"/>
      <c r="J67" s="227"/>
      <c r="K67" s="225"/>
      <c r="L67" s="226"/>
      <c r="M67" s="226"/>
      <c r="N67" s="226"/>
      <c r="O67" s="226"/>
      <c r="P67" s="226"/>
      <c r="Q67" s="226"/>
      <c r="R67" s="226"/>
      <c r="S67" s="226"/>
      <c r="T67" s="227"/>
      <c r="U67" s="80"/>
      <c r="V67" s="80"/>
      <c r="W67" s="80"/>
      <c r="X67" s="80"/>
      <c r="Y67" s="80"/>
    </row>
    <row r="68" spans="1:26" x14ac:dyDescent="0.2">
      <c r="A68" s="225"/>
      <c r="B68" s="226"/>
      <c r="C68" s="226"/>
      <c r="D68" s="226"/>
      <c r="E68" s="226"/>
      <c r="F68" s="226"/>
      <c r="G68" s="226"/>
      <c r="H68" s="226"/>
      <c r="I68" s="226"/>
      <c r="J68" s="227"/>
      <c r="K68" s="225"/>
      <c r="L68" s="226"/>
      <c r="M68" s="226"/>
      <c r="N68" s="226"/>
      <c r="O68" s="226"/>
      <c r="P68" s="226"/>
      <c r="Q68" s="226"/>
      <c r="R68" s="226"/>
      <c r="S68" s="226"/>
      <c r="T68" s="227"/>
      <c r="U68" s="80"/>
      <c r="V68" s="80"/>
      <c r="W68" s="80"/>
      <c r="X68" s="80"/>
      <c r="Y68" s="80"/>
    </row>
    <row r="69" spans="1:26" x14ac:dyDescent="0.2">
      <c r="A69" s="225"/>
      <c r="B69" s="226"/>
      <c r="C69" s="226"/>
      <c r="D69" s="226"/>
      <c r="E69" s="226"/>
      <c r="F69" s="226"/>
      <c r="G69" s="226"/>
      <c r="H69" s="226"/>
      <c r="I69" s="226"/>
      <c r="J69" s="227"/>
      <c r="K69" s="225"/>
      <c r="L69" s="226"/>
      <c r="M69" s="226"/>
      <c r="N69" s="226"/>
      <c r="O69" s="226"/>
      <c r="P69" s="226"/>
      <c r="Q69" s="226"/>
      <c r="R69" s="226"/>
      <c r="S69" s="226"/>
      <c r="T69" s="227"/>
      <c r="U69" s="80"/>
      <c r="V69" s="80"/>
      <c r="W69" s="80"/>
      <c r="X69" s="80"/>
      <c r="Y69" s="80"/>
    </row>
    <row r="70" spans="1:26" x14ac:dyDescent="0.2">
      <c r="A70" s="228"/>
      <c r="B70" s="229"/>
      <c r="C70" s="229"/>
      <c r="D70" s="229"/>
      <c r="E70" s="229"/>
      <c r="F70" s="229"/>
      <c r="G70" s="229"/>
      <c r="H70" s="229"/>
      <c r="I70" s="229"/>
      <c r="J70" s="230"/>
      <c r="K70" s="228"/>
      <c r="L70" s="229"/>
      <c r="M70" s="229"/>
      <c r="N70" s="229"/>
      <c r="O70" s="229"/>
      <c r="P70" s="229"/>
      <c r="Q70" s="229"/>
      <c r="R70" s="229"/>
      <c r="S70" s="229"/>
      <c r="T70" s="230"/>
      <c r="U70" s="80"/>
      <c r="V70" s="80"/>
      <c r="W70" s="80"/>
      <c r="X70" s="80"/>
      <c r="Y70" s="80"/>
    </row>
    <row r="71" spans="1:26" x14ac:dyDescent="0.2">
      <c r="A71" s="111" t="s">
        <v>241</v>
      </c>
      <c r="B71" s="112"/>
      <c r="C71" s="112"/>
      <c r="D71" s="112"/>
      <c r="E71" s="112"/>
      <c r="F71" s="112"/>
      <c r="G71" s="112"/>
      <c r="H71" s="112"/>
      <c r="I71" s="112"/>
      <c r="J71" s="113"/>
      <c r="K71" s="111" t="s">
        <v>242</v>
      </c>
      <c r="L71" s="112"/>
      <c r="M71" s="112"/>
      <c r="N71" s="112"/>
      <c r="O71" s="112"/>
      <c r="P71" s="112"/>
      <c r="Q71" s="112"/>
      <c r="R71" s="112"/>
      <c r="S71" s="112"/>
      <c r="T71" s="113"/>
      <c r="U71" s="80"/>
      <c r="V71" s="80"/>
      <c r="W71" s="80"/>
      <c r="X71" s="80"/>
      <c r="Y71" s="80"/>
    </row>
    <row r="72" spans="1:26" x14ac:dyDescent="0.2">
      <c r="A72" s="114"/>
      <c r="B72" s="115"/>
      <c r="C72" s="115"/>
      <c r="D72" s="115"/>
      <c r="E72" s="115"/>
      <c r="F72" s="115"/>
      <c r="G72" s="115"/>
      <c r="H72" s="115"/>
      <c r="I72" s="115"/>
      <c r="J72" s="116"/>
      <c r="K72" s="114"/>
      <c r="L72" s="115"/>
      <c r="M72" s="115"/>
      <c r="N72" s="115"/>
      <c r="O72" s="115"/>
      <c r="P72" s="115"/>
      <c r="Q72" s="115"/>
      <c r="R72" s="115"/>
      <c r="S72" s="115"/>
      <c r="T72" s="116"/>
      <c r="U72" s="80"/>
      <c r="V72" s="80"/>
      <c r="W72" s="80"/>
      <c r="X72" s="80"/>
      <c r="Y72" s="80"/>
    </row>
    <row r="73" spans="1:26" x14ac:dyDescent="0.2">
      <c r="A73" s="114"/>
      <c r="B73" s="115"/>
      <c r="C73" s="115"/>
      <c r="D73" s="115"/>
      <c r="E73" s="115"/>
      <c r="F73" s="115"/>
      <c r="G73" s="115"/>
      <c r="H73" s="115"/>
      <c r="I73" s="115"/>
      <c r="J73" s="116"/>
      <c r="K73" s="114"/>
      <c r="L73" s="115"/>
      <c r="M73" s="115"/>
      <c r="N73" s="115"/>
      <c r="O73" s="115"/>
      <c r="P73" s="115"/>
      <c r="Q73" s="115"/>
      <c r="R73" s="115"/>
      <c r="S73" s="115"/>
      <c r="T73" s="116"/>
      <c r="U73" s="81" t="s">
        <v>157</v>
      </c>
      <c r="V73" s="81"/>
      <c r="W73" s="81"/>
      <c r="X73" s="81"/>
      <c r="Y73" s="81"/>
      <c r="Z73" s="81"/>
    </row>
    <row r="74" spans="1:26" x14ac:dyDescent="0.2">
      <c r="A74" s="114"/>
      <c r="B74" s="115"/>
      <c r="C74" s="115"/>
      <c r="D74" s="115"/>
      <c r="E74" s="115"/>
      <c r="F74" s="115"/>
      <c r="G74" s="115"/>
      <c r="H74" s="115"/>
      <c r="I74" s="115"/>
      <c r="J74" s="116"/>
      <c r="K74" s="114"/>
      <c r="L74" s="115"/>
      <c r="M74" s="115"/>
      <c r="N74" s="115"/>
      <c r="O74" s="115"/>
      <c r="P74" s="115"/>
      <c r="Q74" s="115"/>
      <c r="R74" s="115"/>
      <c r="S74" s="115"/>
      <c r="T74" s="116"/>
      <c r="V74" s="4"/>
      <c r="W74" s="4"/>
      <c r="X74" s="4"/>
      <c r="Y74" s="4"/>
      <c r="Z74" s="4"/>
    </row>
    <row r="75" spans="1:26" x14ac:dyDescent="0.2">
      <c r="A75" s="114"/>
      <c r="B75" s="115"/>
      <c r="C75" s="115"/>
      <c r="D75" s="115"/>
      <c r="E75" s="115"/>
      <c r="F75" s="115"/>
      <c r="G75" s="115"/>
      <c r="H75" s="115"/>
      <c r="I75" s="115"/>
      <c r="J75" s="116"/>
      <c r="K75" s="114"/>
      <c r="L75" s="115"/>
      <c r="M75" s="115"/>
      <c r="N75" s="115"/>
      <c r="O75" s="115"/>
      <c r="P75" s="115"/>
      <c r="Q75" s="115"/>
      <c r="R75" s="115"/>
      <c r="S75" s="115"/>
      <c r="T75" s="116"/>
      <c r="V75" s="4"/>
      <c r="W75" s="4"/>
      <c r="X75" s="4"/>
      <c r="Y75" s="4"/>
      <c r="Z75" s="4"/>
    </row>
    <row r="76" spans="1:26" x14ac:dyDescent="0.2">
      <c r="A76" s="114"/>
      <c r="B76" s="115"/>
      <c r="C76" s="115"/>
      <c r="D76" s="115"/>
      <c r="E76" s="115"/>
      <c r="F76" s="115"/>
      <c r="G76" s="115"/>
      <c r="H76" s="115"/>
      <c r="I76" s="115"/>
      <c r="J76" s="116"/>
      <c r="K76" s="114"/>
      <c r="L76" s="115"/>
      <c r="M76" s="115"/>
      <c r="N76" s="115"/>
      <c r="O76" s="115"/>
      <c r="P76" s="115"/>
      <c r="Q76" s="115"/>
      <c r="R76" s="115"/>
      <c r="S76" s="115"/>
      <c r="T76" s="116"/>
      <c r="V76" s="4"/>
      <c r="W76" s="4"/>
      <c r="X76" s="4"/>
      <c r="Y76" s="4"/>
      <c r="Z76" s="4"/>
    </row>
    <row r="77" spans="1:26" x14ac:dyDescent="0.2">
      <c r="A77" s="114"/>
      <c r="B77" s="115"/>
      <c r="C77" s="115"/>
      <c r="D77" s="115"/>
      <c r="E77" s="115"/>
      <c r="F77" s="115"/>
      <c r="G77" s="115"/>
      <c r="H77" s="115"/>
      <c r="I77" s="115"/>
      <c r="J77" s="116"/>
      <c r="K77" s="114"/>
      <c r="L77" s="115"/>
      <c r="M77" s="115"/>
      <c r="N77" s="115"/>
      <c r="O77" s="115"/>
      <c r="P77" s="115"/>
      <c r="Q77" s="115"/>
      <c r="R77" s="115"/>
      <c r="S77" s="115"/>
      <c r="T77" s="116"/>
      <c r="V77" s="4"/>
      <c r="W77" s="4"/>
      <c r="X77" s="4"/>
      <c r="Y77" s="4"/>
      <c r="Z77" s="4"/>
    </row>
    <row r="78" spans="1:26" x14ac:dyDescent="0.2">
      <c r="A78" s="114"/>
      <c r="B78" s="115"/>
      <c r="C78" s="115"/>
      <c r="D78" s="115"/>
      <c r="E78" s="115"/>
      <c r="F78" s="115"/>
      <c r="G78" s="115"/>
      <c r="H78" s="115"/>
      <c r="I78" s="115"/>
      <c r="J78" s="116"/>
      <c r="K78" s="114"/>
      <c r="L78" s="115"/>
      <c r="M78" s="115"/>
      <c r="N78" s="115"/>
      <c r="O78" s="115"/>
      <c r="P78" s="115"/>
      <c r="Q78" s="115"/>
      <c r="R78" s="115"/>
      <c r="S78" s="115"/>
      <c r="T78" s="116"/>
      <c r="U78" s="81"/>
      <c r="V78" s="81"/>
      <c r="W78" s="81"/>
      <c r="X78" s="81"/>
      <c r="Y78" s="81"/>
      <c r="Z78" s="81"/>
    </row>
    <row r="79" spans="1:26" x14ac:dyDescent="0.2">
      <c r="A79" s="114"/>
      <c r="B79" s="115"/>
      <c r="C79" s="115"/>
      <c r="D79" s="115"/>
      <c r="E79" s="115"/>
      <c r="F79" s="115"/>
      <c r="G79" s="115"/>
      <c r="H79" s="115"/>
      <c r="I79" s="115"/>
      <c r="J79" s="116"/>
      <c r="K79" s="114"/>
      <c r="L79" s="115"/>
      <c r="M79" s="115"/>
      <c r="N79" s="115"/>
      <c r="O79" s="115"/>
      <c r="P79" s="115"/>
      <c r="Q79" s="115"/>
      <c r="R79" s="115"/>
      <c r="S79" s="115"/>
      <c r="T79" s="116"/>
    </row>
    <row r="80" spans="1:26" x14ac:dyDescent="0.2">
      <c r="A80" s="114"/>
      <c r="B80" s="115"/>
      <c r="C80" s="115"/>
      <c r="D80" s="115"/>
      <c r="E80" s="115"/>
      <c r="F80" s="115"/>
      <c r="G80" s="115"/>
      <c r="H80" s="115"/>
      <c r="I80" s="115"/>
      <c r="J80" s="116"/>
      <c r="K80" s="114"/>
      <c r="L80" s="115"/>
      <c r="M80" s="115"/>
      <c r="N80" s="115"/>
      <c r="O80" s="115"/>
      <c r="P80" s="115"/>
      <c r="Q80" s="115"/>
      <c r="R80" s="115"/>
      <c r="S80" s="115"/>
      <c r="T80" s="116"/>
    </row>
    <row r="81" spans="1:20" x14ac:dyDescent="0.2">
      <c r="A81" s="114"/>
      <c r="B81" s="115"/>
      <c r="C81" s="115"/>
      <c r="D81" s="115"/>
      <c r="E81" s="115"/>
      <c r="F81" s="115"/>
      <c r="G81" s="115"/>
      <c r="H81" s="115"/>
      <c r="I81" s="115"/>
      <c r="J81" s="116"/>
      <c r="K81" s="114"/>
      <c r="L81" s="115"/>
      <c r="M81" s="115"/>
      <c r="N81" s="115"/>
      <c r="O81" s="115"/>
      <c r="P81" s="115"/>
      <c r="Q81" s="115"/>
      <c r="R81" s="115"/>
      <c r="S81" s="115"/>
      <c r="T81" s="116"/>
    </row>
    <row r="82" spans="1:20" x14ac:dyDescent="0.2">
      <c r="A82" s="114"/>
      <c r="B82" s="115"/>
      <c r="C82" s="115"/>
      <c r="D82" s="115"/>
      <c r="E82" s="115"/>
      <c r="F82" s="115"/>
      <c r="G82" s="115"/>
      <c r="H82" s="115"/>
      <c r="I82" s="115"/>
      <c r="J82" s="116"/>
      <c r="K82" s="114"/>
      <c r="L82" s="115"/>
      <c r="M82" s="115"/>
      <c r="N82" s="115"/>
      <c r="O82" s="115"/>
      <c r="P82" s="115"/>
      <c r="Q82" s="115"/>
      <c r="R82" s="115"/>
      <c r="S82" s="115"/>
      <c r="T82" s="116"/>
    </row>
    <row r="83" spans="1:20" x14ac:dyDescent="0.2">
      <c r="A83" s="114"/>
      <c r="B83" s="115"/>
      <c r="C83" s="115"/>
      <c r="D83" s="115"/>
      <c r="E83" s="115"/>
      <c r="F83" s="115"/>
      <c r="G83" s="115"/>
      <c r="H83" s="115"/>
      <c r="I83" s="115"/>
      <c r="J83" s="116"/>
      <c r="K83" s="114"/>
      <c r="L83" s="115"/>
      <c r="M83" s="115"/>
      <c r="N83" s="115"/>
      <c r="O83" s="115"/>
      <c r="P83" s="115"/>
      <c r="Q83" s="115"/>
      <c r="R83" s="115"/>
      <c r="S83" s="115"/>
      <c r="T83" s="116"/>
    </row>
    <row r="84" spans="1:20" x14ac:dyDescent="0.2">
      <c r="A84" s="117"/>
      <c r="B84" s="118"/>
      <c r="C84" s="118"/>
      <c r="D84" s="118"/>
      <c r="E84" s="118"/>
      <c r="F84" s="118"/>
      <c r="G84" s="118"/>
      <c r="H84" s="118"/>
      <c r="I84" s="118"/>
      <c r="J84" s="119"/>
      <c r="K84" s="117"/>
      <c r="L84" s="118"/>
      <c r="M84" s="118"/>
      <c r="N84" s="118"/>
      <c r="O84" s="118"/>
      <c r="P84" s="118"/>
      <c r="Q84" s="118"/>
      <c r="R84" s="118"/>
      <c r="S84" s="118"/>
      <c r="T84" s="119"/>
    </row>
    <row r="85" spans="1:20" x14ac:dyDescent="0.2">
      <c r="A85" s="97" t="s">
        <v>165</v>
      </c>
      <c r="B85" s="98"/>
      <c r="C85" s="98"/>
      <c r="D85" s="98"/>
      <c r="E85" s="98"/>
      <c r="F85" s="98"/>
      <c r="G85" s="98"/>
      <c r="H85" s="98"/>
      <c r="I85" s="98"/>
      <c r="J85" s="98"/>
      <c r="K85" s="98" t="s">
        <v>166</v>
      </c>
      <c r="L85" s="98"/>
      <c r="M85" s="98"/>
      <c r="N85" s="98"/>
      <c r="O85" s="98"/>
      <c r="P85" s="98"/>
      <c r="Q85" s="98"/>
      <c r="R85" s="98"/>
      <c r="S85" s="98"/>
      <c r="T85" s="98"/>
    </row>
    <row r="86" spans="1:20" x14ac:dyDescent="0.2">
      <c r="A86" s="97"/>
      <c r="B86" s="98"/>
      <c r="C86" s="98"/>
      <c r="D86" s="98"/>
      <c r="E86" s="98"/>
      <c r="F86" s="98"/>
      <c r="G86" s="98"/>
      <c r="H86" s="98"/>
      <c r="I86" s="98"/>
      <c r="J86" s="98"/>
      <c r="K86" s="98"/>
      <c r="L86" s="98"/>
      <c r="M86" s="98"/>
      <c r="N86" s="98"/>
      <c r="O86" s="98"/>
      <c r="P86" s="98"/>
      <c r="Q86" s="98"/>
      <c r="R86" s="98"/>
      <c r="S86" s="98"/>
      <c r="T86" s="98"/>
    </row>
    <row r="87" spans="1:20" x14ac:dyDescent="0.2">
      <c r="A87" s="97"/>
      <c r="B87" s="98"/>
      <c r="C87" s="98"/>
      <c r="D87" s="98"/>
      <c r="E87" s="98"/>
      <c r="F87" s="98"/>
      <c r="G87" s="98"/>
      <c r="H87" s="98"/>
      <c r="I87" s="98"/>
      <c r="J87" s="98"/>
      <c r="K87" s="98"/>
      <c r="L87" s="98"/>
      <c r="M87" s="98"/>
      <c r="N87" s="98"/>
      <c r="O87" s="98"/>
      <c r="P87" s="98"/>
      <c r="Q87" s="98"/>
      <c r="R87" s="98"/>
      <c r="S87" s="98"/>
      <c r="T87" s="98"/>
    </row>
    <row r="88" spans="1:20" x14ac:dyDescent="0.2">
      <c r="A88" s="97"/>
      <c r="B88" s="98"/>
      <c r="C88" s="98"/>
      <c r="D88" s="98"/>
      <c r="E88" s="98"/>
      <c r="F88" s="98"/>
      <c r="G88" s="98"/>
      <c r="H88" s="98"/>
      <c r="I88" s="98"/>
      <c r="J88" s="98"/>
      <c r="K88" s="98"/>
      <c r="L88" s="98"/>
      <c r="M88" s="98"/>
      <c r="N88" s="98"/>
      <c r="O88" s="98"/>
      <c r="P88" s="98"/>
      <c r="Q88" s="98"/>
      <c r="R88" s="98"/>
      <c r="S88" s="98"/>
      <c r="T88" s="98"/>
    </row>
    <row r="89" spans="1:20" x14ac:dyDescent="0.2">
      <c r="A89" s="97"/>
      <c r="B89" s="98"/>
      <c r="C89" s="98"/>
      <c r="D89" s="98"/>
      <c r="E89" s="98"/>
      <c r="F89" s="98"/>
      <c r="G89" s="98"/>
      <c r="H89" s="98"/>
      <c r="I89" s="98"/>
      <c r="J89" s="98"/>
      <c r="K89" s="98"/>
      <c r="L89" s="98"/>
      <c r="M89" s="98"/>
      <c r="N89" s="98"/>
      <c r="O89" s="98"/>
      <c r="P89" s="98"/>
      <c r="Q89" s="98"/>
      <c r="R89" s="98"/>
      <c r="S89" s="98"/>
      <c r="T89" s="98"/>
    </row>
    <row r="90" spans="1:20" x14ac:dyDescent="0.2">
      <c r="A90" s="97"/>
      <c r="B90" s="98"/>
      <c r="C90" s="98"/>
      <c r="D90" s="98"/>
      <c r="E90" s="98"/>
      <c r="F90" s="98"/>
      <c r="G90" s="98"/>
      <c r="H90" s="98"/>
      <c r="I90" s="98"/>
      <c r="J90" s="98"/>
      <c r="K90" s="98"/>
      <c r="L90" s="98"/>
      <c r="M90" s="98"/>
      <c r="N90" s="98"/>
      <c r="O90" s="98"/>
      <c r="P90" s="98"/>
      <c r="Q90" s="98"/>
      <c r="R90" s="98"/>
      <c r="S90" s="98"/>
      <c r="T90" s="98"/>
    </row>
    <row r="91" spans="1:20" x14ac:dyDescent="0.2">
      <c r="A91" s="97"/>
      <c r="B91" s="98"/>
      <c r="C91" s="98"/>
      <c r="D91" s="98"/>
      <c r="E91" s="98"/>
      <c r="F91" s="98"/>
      <c r="G91" s="98"/>
      <c r="H91" s="98"/>
      <c r="I91" s="98"/>
      <c r="J91" s="98"/>
      <c r="K91" s="98"/>
      <c r="L91" s="98"/>
      <c r="M91" s="98"/>
      <c r="N91" s="98"/>
      <c r="O91" s="98"/>
      <c r="P91" s="98"/>
      <c r="Q91" s="98"/>
      <c r="R91" s="98"/>
      <c r="S91" s="98"/>
      <c r="T91" s="98"/>
    </row>
    <row r="92" spans="1:20" x14ac:dyDescent="0.2">
      <c r="A92" s="97"/>
      <c r="B92" s="98"/>
      <c r="C92" s="98"/>
      <c r="D92" s="98"/>
      <c r="E92" s="98"/>
      <c r="F92" s="98"/>
      <c r="G92" s="98"/>
      <c r="H92" s="98"/>
      <c r="I92" s="98"/>
      <c r="J92" s="98"/>
      <c r="K92" s="98"/>
      <c r="L92" s="98"/>
      <c r="M92" s="98"/>
      <c r="N92" s="98"/>
      <c r="O92" s="98"/>
      <c r="P92" s="98"/>
      <c r="Q92" s="98"/>
      <c r="R92" s="98"/>
      <c r="S92" s="98"/>
      <c r="T92" s="98"/>
    </row>
    <row r="93" spans="1:20" x14ac:dyDescent="0.2">
      <c r="A93" s="97"/>
      <c r="B93" s="98"/>
      <c r="C93" s="98"/>
      <c r="D93" s="98"/>
      <c r="E93" s="98"/>
      <c r="F93" s="98"/>
      <c r="G93" s="98"/>
      <c r="H93" s="98"/>
      <c r="I93" s="98"/>
      <c r="J93" s="98"/>
      <c r="K93" s="98"/>
      <c r="L93" s="98"/>
      <c r="M93" s="98"/>
      <c r="N93" s="98"/>
      <c r="O93" s="98"/>
      <c r="P93" s="98"/>
      <c r="Q93" s="98"/>
      <c r="R93" s="98"/>
      <c r="S93" s="98"/>
      <c r="T93" s="98"/>
    </row>
    <row r="94" spans="1:20" x14ac:dyDescent="0.2">
      <c r="A94" s="97"/>
      <c r="B94" s="98"/>
      <c r="C94" s="98"/>
      <c r="D94" s="98"/>
      <c r="E94" s="98"/>
      <c r="F94" s="98"/>
      <c r="G94" s="98"/>
      <c r="H94" s="98"/>
      <c r="I94" s="98"/>
      <c r="J94" s="98"/>
      <c r="K94" s="98"/>
      <c r="L94" s="98"/>
      <c r="M94" s="98"/>
      <c r="N94" s="98"/>
      <c r="O94" s="98"/>
      <c r="P94" s="98"/>
      <c r="Q94" s="98"/>
      <c r="R94" s="98"/>
      <c r="S94" s="98"/>
      <c r="T94" s="98"/>
    </row>
    <row r="95" spans="1:20" x14ac:dyDescent="0.2">
      <c r="A95" s="97"/>
      <c r="B95" s="98"/>
      <c r="C95" s="98"/>
      <c r="D95" s="98"/>
      <c r="E95" s="98"/>
      <c r="F95" s="98"/>
      <c r="G95" s="98"/>
      <c r="H95" s="98"/>
      <c r="I95" s="98"/>
      <c r="J95" s="98"/>
      <c r="K95" s="98"/>
      <c r="L95" s="98"/>
      <c r="M95" s="98"/>
      <c r="N95" s="98"/>
      <c r="O95" s="98"/>
      <c r="P95" s="98"/>
      <c r="Q95" s="98"/>
      <c r="R95" s="98"/>
      <c r="S95" s="98"/>
      <c r="T95" s="98"/>
    </row>
    <row r="96" spans="1:20" x14ac:dyDescent="0.2">
      <c r="A96" s="98"/>
      <c r="B96" s="98"/>
      <c r="C96" s="98"/>
      <c r="D96" s="98"/>
      <c r="E96" s="98"/>
      <c r="F96" s="98"/>
      <c r="G96" s="98"/>
      <c r="H96" s="98"/>
      <c r="I96" s="98"/>
      <c r="J96" s="98"/>
      <c r="K96" s="98"/>
      <c r="L96" s="98"/>
      <c r="M96" s="98"/>
      <c r="N96" s="98"/>
      <c r="O96" s="98"/>
      <c r="P96" s="98"/>
      <c r="Q96" s="98"/>
      <c r="R96" s="98"/>
      <c r="S96" s="98"/>
      <c r="T96" s="98"/>
    </row>
    <row r="97" spans="1:25" x14ac:dyDescent="0.2">
      <c r="A97" s="98"/>
      <c r="B97" s="98"/>
      <c r="C97" s="98"/>
      <c r="D97" s="98"/>
      <c r="E97" s="98"/>
      <c r="F97" s="98"/>
      <c r="G97" s="98"/>
      <c r="H97" s="98"/>
      <c r="I97" s="98"/>
      <c r="J97" s="98"/>
      <c r="K97" s="98"/>
      <c r="L97" s="98"/>
      <c r="M97" s="98"/>
      <c r="N97" s="98"/>
      <c r="O97" s="98"/>
      <c r="P97" s="98"/>
      <c r="Q97" s="98"/>
      <c r="R97" s="98"/>
      <c r="S97" s="98"/>
      <c r="T97" s="98"/>
    </row>
    <row r="98" spans="1:25" x14ac:dyDescent="0.2">
      <c r="A98" s="98"/>
      <c r="B98" s="98"/>
      <c r="C98" s="98"/>
      <c r="D98" s="98"/>
      <c r="E98" s="98"/>
      <c r="F98" s="98"/>
      <c r="G98" s="98"/>
      <c r="H98" s="98"/>
      <c r="I98" s="98"/>
      <c r="J98" s="98"/>
      <c r="K98" s="98"/>
      <c r="L98" s="98"/>
      <c r="M98" s="98"/>
      <c r="N98" s="98"/>
      <c r="O98" s="98"/>
      <c r="P98" s="98"/>
      <c r="Q98" s="98"/>
      <c r="R98" s="98"/>
      <c r="S98" s="98"/>
      <c r="T98" s="98"/>
      <c r="U98" s="81" t="s">
        <v>158</v>
      </c>
      <c r="V98" s="81"/>
      <c r="W98" s="81"/>
      <c r="X98" s="81"/>
      <c r="Y98" s="81"/>
    </row>
    <row r="99" spans="1:25" x14ac:dyDescent="0.2">
      <c r="A99" s="98"/>
      <c r="B99" s="98"/>
      <c r="C99" s="98"/>
      <c r="D99" s="98"/>
      <c r="E99" s="98"/>
      <c r="F99" s="98"/>
      <c r="G99" s="98"/>
      <c r="H99" s="98"/>
      <c r="I99" s="98"/>
      <c r="J99" s="98"/>
      <c r="K99" s="98"/>
      <c r="L99" s="98"/>
      <c r="M99" s="98"/>
      <c r="N99" s="98"/>
      <c r="O99" s="98"/>
      <c r="P99" s="98"/>
      <c r="Q99" s="98"/>
      <c r="R99" s="98"/>
      <c r="S99" s="98"/>
      <c r="T99" s="98"/>
      <c r="U99" s="82" t="s">
        <v>159</v>
      </c>
      <c r="V99" s="82"/>
      <c r="W99" s="82"/>
      <c r="X99" s="82"/>
      <c r="Y99" s="82"/>
    </row>
    <row r="100" spans="1:25" x14ac:dyDescent="0.2">
      <c r="A100" s="98"/>
      <c r="B100" s="98"/>
      <c r="C100" s="98"/>
      <c r="D100" s="98"/>
      <c r="E100" s="98"/>
      <c r="F100" s="98"/>
      <c r="G100" s="98"/>
      <c r="H100" s="98"/>
      <c r="I100" s="98"/>
      <c r="J100" s="98"/>
      <c r="K100" s="98"/>
      <c r="L100" s="98"/>
      <c r="M100" s="98"/>
      <c r="N100" s="98"/>
      <c r="O100" s="98"/>
      <c r="P100" s="98"/>
      <c r="Q100" s="98"/>
      <c r="R100" s="98"/>
      <c r="S100" s="98"/>
      <c r="T100" s="98"/>
      <c r="U100" s="82"/>
      <c r="V100" s="82"/>
      <c r="W100" s="82"/>
      <c r="X100" s="82"/>
      <c r="Y100" s="82"/>
    </row>
    <row r="101" spans="1:25" x14ac:dyDescent="0.2">
      <c r="A101" s="98"/>
      <c r="B101" s="98"/>
      <c r="C101" s="98"/>
      <c r="D101" s="98"/>
      <c r="E101" s="98"/>
      <c r="F101" s="98"/>
      <c r="G101" s="98"/>
      <c r="H101" s="98"/>
      <c r="I101" s="98"/>
      <c r="J101" s="98"/>
      <c r="K101" s="98"/>
      <c r="L101" s="98"/>
      <c r="M101" s="98"/>
      <c r="N101" s="98"/>
      <c r="O101" s="98"/>
      <c r="P101" s="98"/>
      <c r="Q101" s="98"/>
      <c r="R101" s="98"/>
      <c r="S101" s="98"/>
      <c r="T101" s="98"/>
      <c r="U101" s="82"/>
      <c r="V101" s="82"/>
      <c r="W101" s="82"/>
      <c r="X101" s="82"/>
      <c r="Y101" s="82"/>
    </row>
    <row r="102" spans="1:25" x14ac:dyDescent="0.2">
      <c r="M102" s="21"/>
      <c r="N102" s="21"/>
      <c r="O102" s="21"/>
      <c r="P102" s="21"/>
      <c r="Q102" s="21"/>
      <c r="R102" s="21"/>
      <c r="S102" s="21"/>
      <c r="T102" s="21"/>
      <c r="U102" s="82"/>
      <c r="V102" s="82"/>
      <c r="W102" s="82"/>
      <c r="X102" s="82"/>
      <c r="Y102" s="82"/>
    </row>
    <row r="103" spans="1:25" x14ac:dyDescent="0.2">
      <c r="M103" s="21"/>
      <c r="N103" s="21"/>
      <c r="O103" s="21"/>
      <c r="P103" s="21"/>
      <c r="Q103" s="21"/>
      <c r="R103" s="21"/>
      <c r="S103" s="21"/>
      <c r="T103" s="21"/>
      <c r="U103" s="82"/>
      <c r="V103" s="82"/>
      <c r="W103" s="82"/>
      <c r="X103" s="82"/>
      <c r="Y103" s="82"/>
    </row>
    <row r="104" spans="1:25" x14ac:dyDescent="0.2">
      <c r="M104" s="21"/>
      <c r="N104" s="21"/>
      <c r="O104" s="21"/>
      <c r="P104" s="21"/>
      <c r="Q104" s="21"/>
      <c r="R104" s="21"/>
      <c r="S104" s="21"/>
      <c r="T104" s="21"/>
      <c r="U104" s="82"/>
      <c r="V104" s="82"/>
      <c r="W104" s="82"/>
      <c r="X104" s="82"/>
      <c r="Y104" s="82"/>
    </row>
    <row r="105" spans="1:25" x14ac:dyDescent="0.2">
      <c r="A105" s="91" t="s">
        <v>153</v>
      </c>
      <c r="B105" s="91"/>
      <c r="C105" s="91"/>
      <c r="D105" s="91"/>
      <c r="E105" s="91"/>
      <c r="F105" s="91"/>
      <c r="G105" s="91"/>
      <c r="H105" s="91"/>
      <c r="I105" s="91"/>
      <c r="J105" s="91"/>
      <c r="K105" s="91"/>
      <c r="L105" s="91"/>
      <c r="M105" s="91"/>
      <c r="N105" s="91"/>
      <c r="O105" s="91"/>
      <c r="P105" s="91"/>
      <c r="Q105" s="91"/>
      <c r="R105" s="91"/>
      <c r="S105" s="91"/>
      <c r="T105" s="91"/>
      <c r="U105" s="82"/>
      <c r="V105" s="82"/>
      <c r="W105" s="82"/>
      <c r="X105" s="82"/>
      <c r="Y105" s="82"/>
    </row>
    <row r="106" spans="1:25" x14ac:dyDescent="0.2">
      <c r="A106" s="91"/>
      <c r="B106" s="91"/>
      <c r="C106" s="91"/>
      <c r="D106" s="91"/>
      <c r="E106" s="91"/>
      <c r="F106" s="91"/>
      <c r="G106" s="91"/>
      <c r="H106" s="91"/>
      <c r="I106" s="91"/>
      <c r="J106" s="91"/>
      <c r="K106" s="91"/>
      <c r="L106" s="91"/>
      <c r="M106" s="91"/>
      <c r="N106" s="91"/>
      <c r="O106" s="91"/>
      <c r="P106" s="91"/>
      <c r="Q106" s="91"/>
      <c r="R106" s="91"/>
      <c r="S106" s="91"/>
      <c r="T106" s="91"/>
      <c r="U106" s="82"/>
      <c r="V106" s="82"/>
      <c r="W106" s="82"/>
      <c r="X106" s="82"/>
      <c r="Y106" s="82"/>
    </row>
    <row r="107" spans="1:25" x14ac:dyDescent="0.2">
      <c r="A107" s="83"/>
      <c r="B107" s="83"/>
      <c r="C107" s="86"/>
      <c r="D107" s="86"/>
      <c r="E107" s="86"/>
      <c r="F107" s="86"/>
      <c r="G107" s="86"/>
      <c r="H107" s="48"/>
      <c r="I107" s="48"/>
      <c r="J107" s="48"/>
      <c r="K107" s="48"/>
      <c r="L107" s="48"/>
      <c r="M107" s="49"/>
      <c r="N107" s="49"/>
      <c r="O107" s="49"/>
      <c r="P107" s="49"/>
      <c r="Q107" s="49"/>
      <c r="R107" s="49"/>
      <c r="S107" s="49"/>
      <c r="T107" s="50"/>
      <c r="U107" s="82"/>
      <c r="V107" s="82"/>
      <c r="W107" s="82"/>
      <c r="X107" s="82"/>
      <c r="Y107" s="82"/>
    </row>
    <row r="108" spans="1:25" x14ac:dyDescent="0.2">
      <c r="A108" s="84"/>
      <c r="B108" s="84" t="s">
        <v>154</v>
      </c>
      <c r="C108" s="87"/>
      <c r="D108" s="87"/>
      <c r="E108" s="87"/>
      <c r="F108" s="87"/>
      <c r="G108" s="87"/>
      <c r="H108" s="87"/>
      <c r="I108" s="87"/>
      <c r="J108" s="87"/>
      <c r="K108" s="87"/>
      <c r="L108" s="87"/>
      <c r="M108" s="87"/>
      <c r="N108" s="87"/>
      <c r="O108" s="87"/>
      <c r="P108" s="87"/>
      <c r="Q108" s="87"/>
      <c r="R108" s="87"/>
      <c r="S108" s="87"/>
      <c r="T108" s="88"/>
      <c r="U108" s="82"/>
      <c r="V108" s="82"/>
      <c r="W108" s="82"/>
      <c r="X108" s="82"/>
      <c r="Y108" s="82"/>
    </row>
    <row r="109" spans="1:25" x14ac:dyDescent="0.2">
      <c r="A109" s="84"/>
      <c r="B109" s="84"/>
      <c r="C109" s="87"/>
      <c r="D109" s="87"/>
      <c r="E109" s="87"/>
      <c r="F109" s="87"/>
      <c r="G109" s="87"/>
      <c r="H109" s="87"/>
      <c r="I109" s="87"/>
      <c r="J109" s="87"/>
      <c r="K109" s="87"/>
      <c r="L109" s="87"/>
      <c r="M109" s="87"/>
      <c r="N109" s="87"/>
      <c r="O109" s="87"/>
      <c r="P109" s="87"/>
      <c r="Q109" s="87"/>
      <c r="R109" s="87"/>
      <c r="S109" s="87"/>
      <c r="T109" s="88"/>
      <c r="U109" s="82"/>
      <c r="V109" s="82"/>
      <c r="W109" s="82"/>
      <c r="X109" s="82"/>
      <c r="Y109" s="82"/>
    </row>
    <row r="110" spans="1:25" x14ac:dyDescent="0.2">
      <c r="A110" s="85"/>
      <c r="B110" s="85"/>
      <c r="C110" s="89"/>
      <c r="D110" s="89"/>
      <c r="E110" s="89"/>
      <c r="F110" s="89"/>
      <c r="G110" s="89"/>
      <c r="H110" s="51"/>
      <c r="I110" s="51"/>
      <c r="J110" s="51"/>
      <c r="K110" s="51"/>
      <c r="L110" s="51"/>
      <c r="M110" s="51"/>
      <c r="N110" s="51"/>
      <c r="O110" s="51"/>
      <c r="P110" s="51"/>
      <c r="Q110" s="51"/>
      <c r="R110" s="51"/>
      <c r="S110" s="51"/>
      <c r="T110" s="52"/>
      <c r="U110" s="82"/>
      <c r="V110" s="82"/>
      <c r="W110" s="82"/>
      <c r="X110" s="82"/>
      <c r="Y110" s="82"/>
    </row>
    <row r="111" spans="1:25" x14ac:dyDescent="0.2">
      <c r="A111" s="90"/>
      <c r="B111" s="90"/>
      <c r="C111" s="90"/>
      <c r="D111" s="90"/>
      <c r="E111" s="90"/>
      <c r="F111" s="90"/>
      <c r="G111" s="90"/>
      <c r="H111" s="90"/>
      <c r="I111" s="90"/>
      <c r="J111" s="90"/>
      <c r="K111" s="90"/>
      <c r="L111" s="90"/>
      <c r="M111" s="90"/>
      <c r="N111" s="90"/>
      <c r="O111" s="90"/>
      <c r="P111" s="90"/>
      <c r="Q111" s="90"/>
      <c r="R111" s="90"/>
      <c r="S111" s="90"/>
      <c r="T111" s="90"/>
      <c r="U111" s="82"/>
      <c r="V111" s="82"/>
      <c r="W111" s="82"/>
      <c r="X111" s="82"/>
      <c r="Y111" s="82"/>
    </row>
    <row r="112" spans="1:25" x14ac:dyDescent="0.2">
      <c r="A112" s="90"/>
      <c r="B112" s="90"/>
      <c r="C112" s="90"/>
      <c r="D112" s="90"/>
      <c r="E112" s="90"/>
      <c r="F112" s="90"/>
      <c r="G112" s="90"/>
      <c r="H112" s="90"/>
      <c r="I112" s="90"/>
      <c r="J112" s="90"/>
      <c r="K112" s="90"/>
      <c r="L112" s="90"/>
      <c r="M112" s="90"/>
      <c r="N112" s="90"/>
      <c r="O112" s="90"/>
      <c r="P112" s="90"/>
      <c r="Q112" s="90"/>
      <c r="R112" s="90"/>
      <c r="S112" s="90"/>
      <c r="T112" s="90"/>
      <c r="U112" s="82"/>
      <c r="V112" s="82"/>
      <c r="W112" s="82"/>
      <c r="X112" s="82"/>
      <c r="Y112" s="82"/>
    </row>
    <row r="113" spans="1:25" x14ac:dyDescent="0.2">
      <c r="A113" s="90"/>
      <c r="B113" s="90"/>
      <c r="C113" s="90"/>
      <c r="D113" s="90"/>
      <c r="E113" s="90"/>
      <c r="F113" s="90"/>
      <c r="G113" s="90"/>
      <c r="H113" s="90"/>
      <c r="I113" s="90"/>
      <c r="J113" s="90"/>
      <c r="K113" s="90"/>
      <c r="L113" s="90"/>
      <c r="M113" s="90"/>
      <c r="N113" s="90"/>
      <c r="O113" s="90"/>
      <c r="P113" s="90"/>
      <c r="Q113" s="90"/>
      <c r="R113" s="90"/>
      <c r="S113" s="90"/>
      <c r="T113" s="90"/>
      <c r="U113" s="82"/>
      <c r="V113" s="82"/>
      <c r="W113" s="82"/>
      <c r="X113" s="82"/>
      <c r="Y113" s="82"/>
    </row>
    <row r="114" spans="1:25" x14ac:dyDescent="0.2">
      <c r="A114" s="90"/>
      <c r="B114" s="90"/>
      <c r="C114" s="90"/>
      <c r="D114" s="90"/>
      <c r="E114" s="90"/>
      <c r="F114" s="90"/>
      <c r="G114" s="90"/>
      <c r="H114" s="90"/>
      <c r="I114" s="90"/>
      <c r="J114" s="90"/>
      <c r="K114" s="90"/>
      <c r="L114" s="90"/>
      <c r="M114" s="90"/>
      <c r="N114" s="90"/>
      <c r="O114" s="90"/>
      <c r="P114" s="90"/>
      <c r="Q114" s="90"/>
      <c r="R114" s="90"/>
      <c r="S114" s="90"/>
      <c r="T114" s="90"/>
      <c r="U114" s="82"/>
      <c r="V114" s="82"/>
      <c r="W114" s="82"/>
      <c r="X114" s="82"/>
      <c r="Y114" s="82"/>
    </row>
    <row r="115" spans="1:25" x14ac:dyDescent="0.2">
      <c r="A115" s="219" t="s">
        <v>85</v>
      </c>
      <c r="B115" s="219"/>
      <c r="C115" s="219"/>
      <c r="D115" s="219"/>
      <c r="E115" s="219"/>
      <c r="F115" s="219"/>
      <c r="G115" s="219"/>
      <c r="H115" s="219"/>
      <c r="I115" s="219"/>
      <c r="J115" s="219"/>
      <c r="K115" s="219"/>
      <c r="L115" s="219"/>
      <c r="M115" s="219"/>
      <c r="N115" s="219"/>
      <c r="O115" s="219"/>
      <c r="P115" s="219"/>
      <c r="Q115" s="219"/>
      <c r="R115" s="219"/>
      <c r="S115" s="219"/>
      <c r="T115" s="219"/>
    </row>
    <row r="116" spans="1:25" x14ac:dyDescent="0.2">
      <c r="A116" s="220"/>
      <c r="B116" s="220"/>
      <c r="C116" s="220"/>
      <c r="D116" s="220"/>
      <c r="E116" s="220"/>
      <c r="F116" s="220"/>
      <c r="G116" s="220"/>
      <c r="H116" s="220"/>
      <c r="I116" s="220"/>
      <c r="J116" s="220"/>
      <c r="K116" s="220"/>
      <c r="L116" s="220"/>
      <c r="M116" s="220"/>
      <c r="N116" s="220"/>
      <c r="O116" s="220"/>
      <c r="P116" s="220"/>
      <c r="Q116" s="220"/>
      <c r="R116" s="220"/>
      <c r="S116" s="220"/>
      <c r="T116" s="220"/>
    </row>
    <row r="117" spans="1:25" x14ac:dyDescent="0.2">
      <c r="A117" s="122" t="s">
        <v>37</v>
      </c>
      <c r="B117" s="123"/>
      <c r="C117" s="123"/>
      <c r="D117" s="123"/>
      <c r="E117" s="123"/>
      <c r="F117" s="123"/>
      <c r="G117" s="123"/>
      <c r="H117" s="123"/>
      <c r="I117" s="123"/>
      <c r="J117" s="123"/>
      <c r="K117" s="123"/>
      <c r="L117" s="123"/>
      <c r="M117" s="123"/>
      <c r="N117" s="123"/>
      <c r="O117" s="123"/>
      <c r="P117" s="123"/>
      <c r="Q117" s="123"/>
      <c r="R117" s="123"/>
      <c r="S117" s="123"/>
      <c r="T117" s="124"/>
    </row>
    <row r="118" spans="1:25" x14ac:dyDescent="0.2">
      <c r="A118" s="127"/>
      <c r="B118" s="128"/>
      <c r="C118" s="128"/>
      <c r="D118" s="128"/>
      <c r="E118" s="128"/>
      <c r="F118" s="128"/>
      <c r="G118" s="128"/>
      <c r="H118" s="128"/>
      <c r="I118" s="128"/>
      <c r="J118" s="128"/>
      <c r="K118" s="128"/>
      <c r="L118" s="128"/>
      <c r="M118" s="128"/>
      <c r="N118" s="128"/>
      <c r="O118" s="128"/>
      <c r="P118" s="128"/>
      <c r="Q118" s="128"/>
      <c r="R118" s="128"/>
      <c r="S118" s="128"/>
      <c r="T118" s="129"/>
    </row>
    <row r="119" spans="1:25" x14ac:dyDescent="0.2">
      <c r="A119" s="135" t="s">
        <v>24</v>
      </c>
      <c r="B119" s="122" t="s">
        <v>23</v>
      </c>
      <c r="C119" s="123"/>
      <c r="D119" s="123"/>
      <c r="E119" s="123"/>
      <c r="F119" s="123"/>
      <c r="G119" s="123"/>
      <c r="H119" s="123"/>
      <c r="I119" s="124"/>
      <c r="J119" s="101" t="s">
        <v>35</v>
      </c>
      <c r="K119" s="104" t="s">
        <v>21</v>
      </c>
      <c r="L119" s="105"/>
      <c r="M119" s="106"/>
      <c r="N119" s="104" t="s">
        <v>36</v>
      </c>
      <c r="O119" s="105"/>
      <c r="P119" s="106"/>
      <c r="Q119" s="104" t="s">
        <v>20</v>
      </c>
      <c r="R119" s="105"/>
      <c r="S119" s="106"/>
      <c r="T119" s="101" t="s">
        <v>19</v>
      </c>
    </row>
    <row r="120" spans="1:25" x14ac:dyDescent="0.2">
      <c r="A120" s="136"/>
      <c r="B120" s="125"/>
      <c r="C120" s="96"/>
      <c r="D120" s="96"/>
      <c r="E120" s="96"/>
      <c r="F120" s="96"/>
      <c r="G120" s="96"/>
      <c r="H120" s="96"/>
      <c r="I120" s="126"/>
      <c r="J120" s="102"/>
      <c r="K120" s="107"/>
      <c r="L120" s="108"/>
      <c r="M120" s="109"/>
      <c r="N120" s="107"/>
      <c r="O120" s="108"/>
      <c r="P120" s="109"/>
      <c r="Q120" s="107"/>
      <c r="R120" s="108"/>
      <c r="S120" s="109"/>
      <c r="T120" s="102"/>
    </row>
    <row r="121" spans="1:25" x14ac:dyDescent="0.2">
      <c r="A121" s="137"/>
      <c r="B121" s="127"/>
      <c r="C121" s="128"/>
      <c r="D121" s="128"/>
      <c r="E121" s="128"/>
      <c r="F121" s="128"/>
      <c r="G121" s="128"/>
      <c r="H121" s="128"/>
      <c r="I121" s="129"/>
      <c r="J121" s="103"/>
      <c r="K121" s="3" t="s">
        <v>25</v>
      </c>
      <c r="L121" s="3" t="s">
        <v>26</v>
      </c>
      <c r="M121" s="3" t="s">
        <v>27</v>
      </c>
      <c r="N121" s="3" t="s">
        <v>31</v>
      </c>
      <c r="O121" s="3" t="s">
        <v>5</v>
      </c>
      <c r="P121" s="3" t="s">
        <v>28</v>
      </c>
      <c r="Q121" s="3" t="s">
        <v>29</v>
      </c>
      <c r="R121" s="3" t="s">
        <v>25</v>
      </c>
      <c r="S121" s="3" t="s">
        <v>30</v>
      </c>
      <c r="T121" s="103"/>
    </row>
    <row r="122" spans="1:25" ht="19.7" customHeight="1" x14ac:dyDescent="0.2">
      <c r="A122" s="16" t="s">
        <v>167</v>
      </c>
      <c r="B122" s="92" t="s">
        <v>168</v>
      </c>
      <c r="C122" s="93"/>
      <c r="D122" s="93"/>
      <c r="E122" s="93"/>
      <c r="F122" s="93"/>
      <c r="G122" s="93"/>
      <c r="H122" s="93"/>
      <c r="I122" s="94"/>
      <c r="J122" s="5">
        <v>5</v>
      </c>
      <c r="K122" s="5">
        <v>2</v>
      </c>
      <c r="L122" s="5">
        <v>1</v>
      </c>
      <c r="M122" s="5">
        <v>0</v>
      </c>
      <c r="N122" s="7">
        <f>K122+L122+M122</f>
        <v>3</v>
      </c>
      <c r="O122" s="8">
        <f>P122-N122</f>
        <v>6</v>
      </c>
      <c r="P122" s="8">
        <f>ROUND(PRODUCT(J122,25)/14,0)</f>
        <v>9</v>
      </c>
      <c r="Q122" s="55" t="s">
        <v>29</v>
      </c>
      <c r="R122" s="5"/>
      <c r="S122" s="12"/>
      <c r="T122" s="12" t="s">
        <v>87</v>
      </c>
      <c r="U122" s="131" t="str">
        <f>IF(J128&gt;=30,"Corect","Sunt necesare cel puțin 30 de credite")</f>
        <v>Corect</v>
      </c>
      <c r="V122" s="132"/>
      <c r="W122" s="132"/>
    </row>
    <row r="123" spans="1:25" ht="28.35" customHeight="1" x14ac:dyDescent="0.2">
      <c r="A123" s="16" t="s">
        <v>169</v>
      </c>
      <c r="B123" s="92" t="s">
        <v>170</v>
      </c>
      <c r="C123" s="93"/>
      <c r="D123" s="93"/>
      <c r="E123" s="93"/>
      <c r="F123" s="93"/>
      <c r="G123" s="93"/>
      <c r="H123" s="93"/>
      <c r="I123" s="94"/>
      <c r="J123" s="5">
        <v>5</v>
      </c>
      <c r="K123" s="5">
        <v>2</v>
      </c>
      <c r="L123" s="5">
        <v>1</v>
      </c>
      <c r="M123" s="5">
        <v>0</v>
      </c>
      <c r="N123" s="7">
        <f t="shared" ref="N123:N125" si="2">K123+L123+M123</f>
        <v>3</v>
      </c>
      <c r="O123" s="8">
        <f t="shared" ref="O123:O125" si="3">P123-N123</f>
        <v>6</v>
      </c>
      <c r="P123" s="8">
        <f t="shared" ref="P123:P125" si="4">ROUND(PRODUCT(J123,25)/14,0)</f>
        <v>9</v>
      </c>
      <c r="Q123" s="55" t="s">
        <v>29</v>
      </c>
      <c r="R123" s="5"/>
      <c r="S123" s="12"/>
      <c r="T123" s="12" t="s">
        <v>88</v>
      </c>
    </row>
    <row r="124" spans="1:25" ht="28.35" customHeight="1" x14ac:dyDescent="0.2">
      <c r="A124" s="16" t="s">
        <v>171</v>
      </c>
      <c r="B124" s="92" t="s">
        <v>172</v>
      </c>
      <c r="C124" s="93"/>
      <c r="D124" s="93"/>
      <c r="E124" s="93"/>
      <c r="F124" s="93"/>
      <c r="G124" s="93"/>
      <c r="H124" s="93"/>
      <c r="I124" s="94"/>
      <c r="J124" s="5">
        <v>5</v>
      </c>
      <c r="K124" s="5">
        <v>2</v>
      </c>
      <c r="L124" s="5">
        <v>1</v>
      </c>
      <c r="M124" s="5">
        <v>0</v>
      </c>
      <c r="N124" s="7">
        <f t="shared" si="2"/>
        <v>3</v>
      </c>
      <c r="O124" s="8">
        <f t="shared" si="3"/>
        <v>6</v>
      </c>
      <c r="P124" s="8">
        <f t="shared" si="4"/>
        <v>9</v>
      </c>
      <c r="Q124" s="55" t="s">
        <v>29</v>
      </c>
      <c r="R124" s="5"/>
      <c r="S124" s="12"/>
      <c r="T124" s="12" t="s">
        <v>88</v>
      </c>
    </row>
    <row r="125" spans="1:25" ht="19.7" customHeight="1" x14ac:dyDescent="0.2">
      <c r="A125" s="16" t="s">
        <v>173</v>
      </c>
      <c r="B125" s="92" t="s">
        <v>174</v>
      </c>
      <c r="C125" s="93"/>
      <c r="D125" s="93"/>
      <c r="E125" s="93"/>
      <c r="F125" s="93"/>
      <c r="G125" s="93"/>
      <c r="H125" s="93"/>
      <c r="I125" s="94"/>
      <c r="J125" s="5">
        <v>5</v>
      </c>
      <c r="K125" s="5">
        <v>2</v>
      </c>
      <c r="L125" s="5">
        <v>1</v>
      </c>
      <c r="M125" s="5">
        <v>0</v>
      </c>
      <c r="N125" s="7">
        <f t="shared" si="2"/>
        <v>3</v>
      </c>
      <c r="O125" s="8">
        <f t="shared" si="3"/>
        <v>6</v>
      </c>
      <c r="P125" s="8">
        <f t="shared" si="4"/>
        <v>9</v>
      </c>
      <c r="Q125" s="55" t="s">
        <v>29</v>
      </c>
      <c r="R125" s="5"/>
      <c r="S125" s="12"/>
      <c r="T125" s="12" t="s">
        <v>88</v>
      </c>
    </row>
    <row r="126" spans="1:25" ht="28.35" customHeight="1" x14ac:dyDescent="0.2">
      <c r="A126" s="16" t="s">
        <v>175</v>
      </c>
      <c r="B126" s="92" t="s">
        <v>176</v>
      </c>
      <c r="C126" s="93"/>
      <c r="D126" s="93"/>
      <c r="E126" s="93"/>
      <c r="F126" s="93"/>
      <c r="G126" s="93"/>
      <c r="H126" s="93"/>
      <c r="I126" s="94"/>
      <c r="J126" s="5">
        <v>5</v>
      </c>
      <c r="K126" s="5">
        <v>2</v>
      </c>
      <c r="L126" s="5">
        <v>1</v>
      </c>
      <c r="M126" s="5">
        <v>0</v>
      </c>
      <c r="N126" s="7">
        <f>K126+L126+M126</f>
        <v>3</v>
      </c>
      <c r="O126" s="8">
        <f>P126-N126</f>
        <v>6</v>
      </c>
      <c r="P126" s="8">
        <f>ROUND(PRODUCT(J126,25)/14,0)</f>
        <v>9</v>
      </c>
      <c r="Q126" s="55" t="s">
        <v>29</v>
      </c>
      <c r="R126" s="5"/>
      <c r="S126" s="12"/>
      <c r="T126" s="12" t="s">
        <v>87</v>
      </c>
    </row>
    <row r="127" spans="1:25" ht="42.6" customHeight="1" x14ac:dyDescent="0.2">
      <c r="A127" s="16" t="s">
        <v>175</v>
      </c>
      <c r="B127" s="92" t="s">
        <v>177</v>
      </c>
      <c r="C127" s="93"/>
      <c r="D127" s="93"/>
      <c r="E127" s="93"/>
      <c r="F127" s="93"/>
      <c r="G127" s="93"/>
      <c r="H127" s="93"/>
      <c r="I127" s="94"/>
      <c r="J127" s="5">
        <v>5</v>
      </c>
      <c r="K127" s="5">
        <v>2</v>
      </c>
      <c r="L127" s="5">
        <v>1</v>
      </c>
      <c r="M127" s="5">
        <v>0</v>
      </c>
      <c r="N127" s="7">
        <f t="shared" ref="N127" si="5">K127+L127+M127</f>
        <v>3</v>
      </c>
      <c r="O127" s="8">
        <f t="shared" ref="O127" si="6">P127-N127</f>
        <v>6</v>
      </c>
      <c r="P127" s="8">
        <f t="shared" ref="P127" si="7">ROUND(PRODUCT(J127,25)/14,0)</f>
        <v>9</v>
      </c>
      <c r="Q127" s="55" t="s">
        <v>29</v>
      </c>
      <c r="R127" s="5"/>
      <c r="S127" s="12"/>
      <c r="T127" s="12" t="s">
        <v>87</v>
      </c>
    </row>
    <row r="128" spans="1:25" x14ac:dyDescent="0.2">
      <c r="A128" s="9" t="s">
        <v>22</v>
      </c>
      <c r="B128" s="138"/>
      <c r="C128" s="139"/>
      <c r="D128" s="139"/>
      <c r="E128" s="139"/>
      <c r="F128" s="139"/>
      <c r="G128" s="139"/>
      <c r="H128" s="139"/>
      <c r="I128" s="140"/>
      <c r="J128" s="9">
        <f t="shared" ref="J128:P128" si="8">SUM(J122:J127)</f>
        <v>30</v>
      </c>
      <c r="K128" s="9">
        <f t="shared" si="8"/>
        <v>12</v>
      </c>
      <c r="L128" s="9">
        <f t="shared" si="8"/>
        <v>6</v>
      </c>
      <c r="M128" s="9">
        <f t="shared" si="8"/>
        <v>0</v>
      </c>
      <c r="N128" s="9">
        <f t="shared" si="8"/>
        <v>18</v>
      </c>
      <c r="O128" s="9">
        <f t="shared" si="8"/>
        <v>36</v>
      </c>
      <c r="P128" s="9">
        <f t="shared" si="8"/>
        <v>54</v>
      </c>
      <c r="Q128" s="9">
        <f>COUNTIF(Q122:Q127,"E")</f>
        <v>6</v>
      </c>
      <c r="R128" s="9">
        <f>COUNTIF(R122:R127,"C")</f>
        <v>0</v>
      </c>
      <c r="S128" s="9">
        <f>COUNTIF(S122:S127,"VP")</f>
        <v>0</v>
      </c>
      <c r="T128" s="33">
        <f>COUNTA(T122:T127)</f>
        <v>6</v>
      </c>
      <c r="U128" s="87" t="str">
        <f>IF(Q128&gt;=SUM(R128:S128),"Corect","E trebuie să fie cel puțin egal cu C+VP")</f>
        <v>Corect</v>
      </c>
      <c r="V128" s="87"/>
      <c r="W128" s="87"/>
    </row>
    <row r="130" spans="1:23" x14ac:dyDescent="0.2">
      <c r="A130" s="122" t="s">
        <v>38</v>
      </c>
      <c r="B130" s="123"/>
      <c r="C130" s="123"/>
      <c r="D130" s="123"/>
      <c r="E130" s="123"/>
      <c r="F130" s="123"/>
      <c r="G130" s="123"/>
      <c r="H130" s="123"/>
      <c r="I130" s="123"/>
      <c r="J130" s="123"/>
      <c r="K130" s="123"/>
      <c r="L130" s="123"/>
      <c r="M130" s="123"/>
      <c r="N130" s="123"/>
      <c r="O130" s="123"/>
      <c r="P130" s="123"/>
      <c r="Q130" s="123"/>
      <c r="R130" s="123"/>
      <c r="S130" s="123"/>
      <c r="T130" s="124"/>
    </row>
    <row r="131" spans="1:23" x14ac:dyDescent="0.2">
      <c r="A131" s="125"/>
      <c r="B131" s="96"/>
      <c r="C131" s="96"/>
      <c r="D131" s="96"/>
      <c r="E131" s="96"/>
      <c r="F131" s="96"/>
      <c r="G131" s="96"/>
      <c r="H131" s="96"/>
      <c r="I131" s="96"/>
      <c r="J131" s="96"/>
      <c r="K131" s="96"/>
      <c r="L131" s="96"/>
      <c r="M131" s="96"/>
      <c r="N131" s="96"/>
      <c r="O131" s="96"/>
      <c r="P131" s="96"/>
      <c r="Q131" s="96"/>
      <c r="R131" s="96"/>
      <c r="S131" s="96"/>
      <c r="T131" s="126"/>
    </row>
    <row r="132" spans="1:23" x14ac:dyDescent="0.2">
      <c r="A132" s="135" t="s">
        <v>24</v>
      </c>
      <c r="B132" s="122" t="s">
        <v>23</v>
      </c>
      <c r="C132" s="123"/>
      <c r="D132" s="123"/>
      <c r="E132" s="123"/>
      <c r="F132" s="123"/>
      <c r="G132" s="123"/>
      <c r="H132" s="123"/>
      <c r="I132" s="124"/>
      <c r="J132" s="101" t="s">
        <v>35</v>
      </c>
      <c r="K132" s="104" t="s">
        <v>21</v>
      </c>
      <c r="L132" s="105"/>
      <c r="M132" s="106"/>
      <c r="N132" s="104" t="s">
        <v>36</v>
      </c>
      <c r="O132" s="105"/>
      <c r="P132" s="106"/>
      <c r="Q132" s="104" t="s">
        <v>20</v>
      </c>
      <c r="R132" s="105"/>
      <c r="S132" s="106"/>
      <c r="T132" s="121" t="s">
        <v>19</v>
      </c>
    </row>
    <row r="133" spans="1:23" x14ac:dyDescent="0.2">
      <c r="A133" s="136"/>
      <c r="B133" s="125"/>
      <c r="C133" s="96"/>
      <c r="D133" s="96"/>
      <c r="E133" s="96"/>
      <c r="F133" s="96"/>
      <c r="G133" s="96"/>
      <c r="H133" s="96"/>
      <c r="I133" s="126"/>
      <c r="J133" s="102"/>
      <c r="K133" s="107"/>
      <c r="L133" s="108"/>
      <c r="M133" s="109"/>
      <c r="N133" s="107"/>
      <c r="O133" s="108"/>
      <c r="P133" s="109"/>
      <c r="Q133" s="107"/>
      <c r="R133" s="108"/>
      <c r="S133" s="109"/>
      <c r="T133" s="121"/>
    </row>
    <row r="134" spans="1:23" x14ac:dyDescent="0.2">
      <c r="A134" s="137"/>
      <c r="B134" s="127"/>
      <c r="C134" s="128"/>
      <c r="D134" s="128"/>
      <c r="E134" s="128"/>
      <c r="F134" s="128"/>
      <c r="G134" s="128"/>
      <c r="H134" s="128"/>
      <c r="I134" s="129"/>
      <c r="J134" s="103"/>
      <c r="K134" s="3" t="s">
        <v>25</v>
      </c>
      <c r="L134" s="3" t="s">
        <v>26</v>
      </c>
      <c r="M134" s="3" t="s">
        <v>27</v>
      </c>
      <c r="N134" s="3" t="s">
        <v>31</v>
      </c>
      <c r="O134" s="3" t="s">
        <v>5</v>
      </c>
      <c r="P134" s="3" t="s">
        <v>28</v>
      </c>
      <c r="Q134" s="3" t="s">
        <v>29</v>
      </c>
      <c r="R134" s="3" t="s">
        <v>25</v>
      </c>
      <c r="S134" s="3" t="s">
        <v>30</v>
      </c>
      <c r="T134" s="121"/>
    </row>
    <row r="135" spans="1:23" ht="28.35" customHeight="1" x14ac:dyDescent="0.2">
      <c r="A135" s="56" t="s">
        <v>178</v>
      </c>
      <c r="B135" s="92" t="s">
        <v>179</v>
      </c>
      <c r="C135" s="93"/>
      <c r="D135" s="93"/>
      <c r="E135" s="93"/>
      <c r="F135" s="93"/>
      <c r="G135" s="93"/>
      <c r="H135" s="93"/>
      <c r="I135" s="94"/>
      <c r="J135" s="12">
        <v>7</v>
      </c>
      <c r="K135" s="12">
        <v>2</v>
      </c>
      <c r="L135" s="12">
        <v>1</v>
      </c>
      <c r="M135" s="5">
        <v>0</v>
      </c>
      <c r="N135" s="7">
        <f t="shared" ref="N135" si="9">K135+L135+M135</f>
        <v>3</v>
      </c>
      <c r="O135" s="8">
        <f t="shared" ref="O135" si="10">P135-N135</f>
        <v>10</v>
      </c>
      <c r="P135" s="8">
        <f t="shared" ref="P135" si="11">ROUND(PRODUCT(J135,25)/14,0)</f>
        <v>13</v>
      </c>
      <c r="Q135" s="11" t="s">
        <v>29</v>
      </c>
      <c r="R135" s="5"/>
      <c r="S135" s="12"/>
      <c r="T135" s="12" t="s">
        <v>87</v>
      </c>
      <c r="U135" s="131" t="str">
        <f>IF(J141&gt;=30,"Corect","Sunt necesare cel puțin 30 de credite")</f>
        <v>Corect</v>
      </c>
      <c r="V135" s="132"/>
      <c r="W135" s="132"/>
    </row>
    <row r="136" spans="1:23" ht="19.7" customHeight="1" x14ac:dyDescent="0.2">
      <c r="A136" s="56" t="s">
        <v>180</v>
      </c>
      <c r="B136" s="92" t="s">
        <v>181</v>
      </c>
      <c r="C136" s="93"/>
      <c r="D136" s="93"/>
      <c r="E136" s="93"/>
      <c r="F136" s="93"/>
      <c r="G136" s="93"/>
      <c r="H136" s="93"/>
      <c r="I136" s="94"/>
      <c r="J136" s="12">
        <v>7</v>
      </c>
      <c r="K136" s="12">
        <v>2</v>
      </c>
      <c r="L136" s="12">
        <v>1</v>
      </c>
      <c r="M136" s="5">
        <v>0</v>
      </c>
      <c r="N136" s="7">
        <f t="shared" ref="N136:N140" si="12">K136+L136+M136</f>
        <v>3</v>
      </c>
      <c r="O136" s="8">
        <f t="shared" ref="O136:O140" si="13">P136-N136</f>
        <v>10</v>
      </c>
      <c r="P136" s="8">
        <f t="shared" ref="P136:P140" si="14">ROUND(PRODUCT(J136,25)/14,0)</f>
        <v>13</v>
      </c>
      <c r="Q136" s="11"/>
      <c r="R136" s="5" t="s">
        <v>25</v>
      </c>
      <c r="S136" s="12"/>
      <c r="T136" s="12" t="s">
        <v>87</v>
      </c>
    </row>
    <row r="137" spans="1:23" ht="28.35" customHeight="1" x14ac:dyDescent="0.2">
      <c r="A137" s="56" t="s">
        <v>182</v>
      </c>
      <c r="B137" s="92" t="s">
        <v>183</v>
      </c>
      <c r="C137" s="93"/>
      <c r="D137" s="93"/>
      <c r="E137" s="93"/>
      <c r="F137" s="93"/>
      <c r="G137" s="93"/>
      <c r="H137" s="93"/>
      <c r="I137" s="94"/>
      <c r="J137" s="12">
        <v>5</v>
      </c>
      <c r="K137" s="12">
        <v>2</v>
      </c>
      <c r="L137" s="12">
        <v>1</v>
      </c>
      <c r="M137" s="5">
        <v>0</v>
      </c>
      <c r="N137" s="7">
        <f t="shared" si="12"/>
        <v>3</v>
      </c>
      <c r="O137" s="8">
        <f t="shared" si="13"/>
        <v>6</v>
      </c>
      <c r="P137" s="8">
        <f t="shared" si="14"/>
        <v>9</v>
      </c>
      <c r="Q137" s="11" t="s">
        <v>29</v>
      </c>
      <c r="R137" s="5"/>
      <c r="S137" s="12"/>
      <c r="T137" s="12" t="s">
        <v>34</v>
      </c>
    </row>
    <row r="138" spans="1:23" ht="19.7" customHeight="1" x14ac:dyDescent="0.2">
      <c r="A138" s="56" t="s">
        <v>184</v>
      </c>
      <c r="B138" s="92" t="s">
        <v>185</v>
      </c>
      <c r="C138" s="93"/>
      <c r="D138" s="93"/>
      <c r="E138" s="93"/>
      <c r="F138" s="93"/>
      <c r="G138" s="93"/>
      <c r="H138" s="93"/>
      <c r="I138" s="94"/>
      <c r="J138" s="12">
        <v>5</v>
      </c>
      <c r="K138" s="12">
        <v>2</v>
      </c>
      <c r="L138" s="12">
        <v>1</v>
      </c>
      <c r="M138" s="5">
        <v>0</v>
      </c>
      <c r="N138" s="7">
        <f>K138+L138+M138</f>
        <v>3</v>
      </c>
      <c r="O138" s="8">
        <f>P138-N138</f>
        <v>6</v>
      </c>
      <c r="P138" s="8">
        <f>ROUND(PRODUCT(J138,25)/14,0)</f>
        <v>9</v>
      </c>
      <c r="Q138" s="11" t="s">
        <v>29</v>
      </c>
      <c r="R138" s="5"/>
      <c r="S138" s="12"/>
      <c r="T138" s="12" t="s">
        <v>88</v>
      </c>
    </row>
    <row r="139" spans="1:23" ht="19.7" customHeight="1" x14ac:dyDescent="0.2">
      <c r="A139" s="56" t="s">
        <v>186</v>
      </c>
      <c r="B139" s="92" t="s">
        <v>187</v>
      </c>
      <c r="C139" s="93"/>
      <c r="D139" s="93"/>
      <c r="E139" s="93"/>
      <c r="F139" s="93"/>
      <c r="G139" s="93"/>
      <c r="H139" s="93"/>
      <c r="I139" s="94"/>
      <c r="J139" s="12">
        <v>3</v>
      </c>
      <c r="K139" s="12">
        <v>0</v>
      </c>
      <c r="L139" s="12">
        <v>4</v>
      </c>
      <c r="M139" s="5">
        <v>0</v>
      </c>
      <c r="N139" s="7">
        <f t="shared" si="12"/>
        <v>4</v>
      </c>
      <c r="O139" s="8">
        <f t="shared" si="13"/>
        <v>1</v>
      </c>
      <c r="P139" s="8">
        <f t="shared" si="14"/>
        <v>5</v>
      </c>
      <c r="Q139" s="11"/>
      <c r="R139" s="5" t="s">
        <v>25</v>
      </c>
      <c r="S139" s="12"/>
      <c r="T139" s="12" t="s">
        <v>88</v>
      </c>
    </row>
    <row r="140" spans="1:23" ht="19.7" customHeight="1" x14ac:dyDescent="0.2">
      <c r="A140" s="56" t="s">
        <v>188</v>
      </c>
      <c r="B140" s="92" t="s">
        <v>189</v>
      </c>
      <c r="C140" s="93"/>
      <c r="D140" s="93"/>
      <c r="E140" s="93"/>
      <c r="F140" s="93"/>
      <c r="G140" s="93"/>
      <c r="H140" s="93"/>
      <c r="I140" s="94"/>
      <c r="J140" s="12">
        <v>3</v>
      </c>
      <c r="K140" s="12">
        <v>2</v>
      </c>
      <c r="L140" s="12">
        <v>0</v>
      </c>
      <c r="M140" s="5">
        <v>0</v>
      </c>
      <c r="N140" s="7">
        <f t="shared" si="12"/>
        <v>2</v>
      </c>
      <c r="O140" s="8">
        <f t="shared" si="13"/>
        <v>3</v>
      </c>
      <c r="P140" s="8">
        <f t="shared" si="14"/>
        <v>5</v>
      </c>
      <c r="Q140" s="11"/>
      <c r="R140" s="5" t="s">
        <v>25</v>
      </c>
      <c r="S140" s="12"/>
      <c r="T140" s="12" t="s">
        <v>88</v>
      </c>
    </row>
    <row r="141" spans="1:23" x14ac:dyDescent="0.2">
      <c r="A141" s="9" t="s">
        <v>22</v>
      </c>
      <c r="B141" s="138"/>
      <c r="C141" s="139"/>
      <c r="D141" s="139"/>
      <c r="E141" s="139"/>
      <c r="F141" s="139"/>
      <c r="G141" s="139"/>
      <c r="H141" s="139"/>
      <c r="I141" s="140"/>
      <c r="J141" s="9">
        <f>SUM(J135:J140)</f>
        <v>30</v>
      </c>
      <c r="K141" s="9">
        <f t="shared" ref="K141:P141" si="15">SUM(K135:K140)</f>
        <v>10</v>
      </c>
      <c r="L141" s="9">
        <f t="shared" si="15"/>
        <v>8</v>
      </c>
      <c r="M141" s="9">
        <f t="shared" si="15"/>
        <v>0</v>
      </c>
      <c r="N141" s="9">
        <f t="shared" si="15"/>
        <v>18</v>
      </c>
      <c r="O141" s="9">
        <f t="shared" si="15"/>
        <v>36</v>
      </c>
      <c r="P141" s="9">
        <f t="shared" si="15"/>
        <v>54</v>
      </c>
      <c r="Q141" s="9">
        <f>COUNTIF(Q135:Q140,"E")</f>
        <v>3</v>
      </c>
      <c r="R141" s="9">
        <f>COUNTIF(R135:R140,"C")</f>
        <v>3</v>
      </c>
      <c r="S141" s="9">
        <f>COUNTIF(S135:S140,"VP")</f>
        <v>0</v>
      </c>
      <c r="T141" s="33">
        <f>COUNTA(T135:T140)</f>
        <v>6</v>
      </c>
      <c r="U141" s="255" t="str">
        <f>IF(Q141&gt;=SUM(R141:S141),"Corect","E trebuie să fie cel puțin egal cu C+VP")</f>
        <v>Corect</v>
      </c>
      <c r="V141" s="256"/>
      <c r="W141" s="256"/>
    </row>
    <row r="142" spans="1:23" x14ac:dyDescent="0.2">
      <c r="A142" s="122" t="s">
        <v>39</v>
      </c>
      <c r="B142" s="123"/>
      <c r="C142" s="123"/>
      <c r="D142" s="123"/>
      <c r="E142" s="123"/>
      <c r="F142" s="123"/>
      <c r="G142" s="123"/>
      <c r="H142" s="123"/>
      <c r="I142" s="123"/>
      <c r="J142" s="123"/>
      <c r="K142" s="123"/>
      <c r="L142" s="123"/>
      <c r="M142" s="123"/>
      <c r="N142" s="123"/>
      <c r="O142" s="123"/>
      <c r="P142" s="123"/>
      <c r="Q142" s="123"/>
      <c r="R142" s="123"/>
      <c r="S142" s="123"/>
      <c r="T142" s="124"/>
    </row>
    <row r="143" spans="1:23" x14ac:dyDescent="0.2">
      <c r="A143" s="125"/>
      <c r="B143" s="96"/>
      <c r="C143" s="96"/>
      <c r="D143" s="96"/>
      <c r="E143" s="96"/>
      <c r="F143" s="96"/>
      <c r="G143" s="96"/>
      <c r="H143" s="96"/>
      <c r="I143" s="96"/>
      <c r="J143" s="96"/>
      <c r="K143" s="96"/>
      <c r="L143" s="96"/>
      <c r="M143" s="96"/>
      <c r="N143" s="96"/>
      <c r="O143" s="96"/>
      <c r="P143" s="96"/>
      <c r="Q143" s="96"/>
      <c r="R143" s="96"/>
      <c r="S143" s="96"/>
      <c r="T143" s="126"/>
    </row>
    <row r="144" spans="1:23" x14ac:dyDescent="0.2">
      <c r="A144" s="135" t="s">
        <v>24</v>
      </c>
      <c r="B144" s="122" t="s">
        <v>23</v>
      </c>
      <c r="C144" s="123"/>
      <c r="D144" s="123"/>
      <c r="E144" s="123"/>
      <c r="F144" s="123"/>
      <c r="G144" s="123"/>
      <c r="H144" s="123"/>
      <c r="I144" s="124"/>
      <c r="J144" s="101" t="s">
        <v>35</v>
      </c>
      <c r="K144" s="104" t="s">
        <v>21</v>
      </c>
      <c r="L144" s="105"/>
      <c r="M144" s="106"/>
      <c r="N144" s="104" t="s">
        <v>36</v>
      </c>
      <c r="O144" s="105"/>
      <c r="P144" s="106"/>
      <c r="Q144" s="104" t="s">
        <v>20</v>
      </c>
      <c r="R144" s="105"/>
      <c r="S144" s="106"/>
      <c r="T144" s="121" t="s">
        <v>19</v>
      </c>
    </row>
    <row r="145" spans="1:23" x14ac:dyDescent="0.2">
      <c r="A145" s="136"/>
      <c r="B145" s="125"/>
      <c r="C145" s="96"/>
      <c r="D145" s="96"/>
      <c r="E145" s="96"/>
      <c r="F145" s="96"/>
      <c r="G145" s="96"/>
      <c r="H145" s="96"/>
      <c r="I145" s="126"/>
      <c r="J145" s="102"/>
      <c r="K145" s="107"/>
      <c r="L145" s="108"/>
      <c r="M145" s="109"/>
      <c r="N145" s="107"/>
      <c r="O145" s="108"/>
      <c r="P145" s="109"/>
      <c r="Q145" s="107"/>
      <c r="R145" s="108"/>
      <c r="S145" s="109"/>
      <c r="T145" s="121"/>
    </row>
    <row r="146" spans="1:23" x14ac:dyDescent="0.2">
      <c r="A146" s="137"/>
      <c r="B146" s="127"/>
      <c r="C146" s="128"/>
      <c r="D146" s="128"/>
      <c r="E146" s="128"/>
      <c r="F146" s="128"/>
      <c r="G146" s="128"/>
      <c r="H146" s="128"/>
      <c r="I146" s="129"/>
      <c r="J146" s="103"/>
      <c r="K146" s="3" t="s">
        <v>25</v>
      </c>
      <c r="L146" s="3" t="s">
        <v>26</v>
      </c>
      <c r="M146" s="3" t="s">
        <v>27</v>
      </c>
      <c r="N146" s="3" t="s">
        <v>31</v>
      </c>
      <c r="O146" s="3" t="s">
        <v>5</v>
      </c>
      <c r="P146" s="3" t="s">
        <v>28</v>
      </c>
      <c r="Q146" s="3" t="s">
        <v>29</v>
      </c>
      <c r="R146" s="3" t="s">
        <v>25</v>
      </c>
      <c r="S146" s="3" t="s">
        <v>30</v>
      </c>
      <c r="T146" s="121"/>
    </row>
    <row r="147" spans="1:23" ht="19.7" customHeight="1" x14ac:dyDescent="0.2">
      <c r="A147" s="16" t="s">
        <v>190</v>
      </c>
      <c r="B147" s="147" t="s">
        <v>191</v>
      </c>
      <c r="C147" s="148"/>
      <c r="D147" s="148"/>
      <c r="E147" s="148"/>
      <c r="F147" s="148"/>
      <c r="G147" s="148"/>
      <c r="H147" s="148"/>
      <c r="I147" s="149"/>
      <c r="J147" s="5">
        <v>6</v>
      </c>
      <c r="K147" s="5">
        <v>2</v>
      </c>
      <c r="L147" s="5">
        <v>1</v>
      </c>
      <c r="M147" s="5">
        <v>0</v>
      </c>
      <c r="N147" s="7">
        <f t="shared" ref="N147" si="16">K147+L147+M147</f>
        <v>3</v>
      </c>
      <c r="O147" s="8">
        <f t="shared" ref="O147" si="17">P147-N147</f>
        <v>8</v>
      </c>
      <c r="P147" s="8">
        <f t="shared" ref="P147" si="18">ROUND(PRODUCT(J147,25)/14,0)</f>
        <v>11</v>
      </c>
      <c r="Q147" s="55" t="s">
        <v>29</v>
      </c>
      <c r="R147" s="5"/>
      <c r="S147" s="12"/>
      <c r="T147" s="12" t="s">
        <v>88</v>
      </c>
      <c r="U147" s="131" t="str">
        <f>IF(J153&gt;=30,"Corect","Sunt necesare cel puțin 30 de credite")</f>
        <v>Corect</v>
      </c>
      <c r="V147" s="132"/>
      <c r="W147" s="132"/>
    </row>
    <row r="148" spans="1:23" ht="19.7" customHeight="1" x14ac:dyDescent="0.2">
      <c r="A148" s="16" t="s">
        <v>192</v>
      </c>
      <c r="B148" s="147" t="s">
        <v>193</v>
      </c>
      <c r="C148" s="148"/>
      <c r="D148" s="148"/>
      <c r="E148" s="148"/>
      <c r="F148" s="148"/>
      <c r="G148" s="148"/>
      <c r="H148" s="148"/>
      <c r="I148" s="149"/>
      <c r="J148" s="5">
        <v>6</v>
      </c>
      <c r="K148" s="5">
        <v>2</v>
      </c>
      <c r="L148" s="5">
        <v>1</v>
      </c>
      <c r="M148" s="5">
        <v>0</v>
      </c>
      <c r="N148" s="7">
        <f t="shared" ref="N148:N152" si="19">K148+L148+M148</f>
        <v>3</v>
      </c>
      <c r="O148" s="8">
        <f t="shared" ref="O148:O152" si="20">P148-N148</f>
        <v>8</v>
      </c>
      <c r="P148" s="8">
        <f t="shared" ref="P148:P152" si="21">ROUND(PRODUCT(J148,25)/14,0)</f>
        <v>11</v>
      </c>
      <c r="Q148" s="55" t="s">
        <v>29</v>
      </c>
      <c r="R148" s="5"/>
      <c r="S148" s="12"/>
      <c r="T148" s="12" t="s">
        <v>87</v>
      </c>
    </row>
    <row r="149" spans="1:23" ht="19.7" customHeight="1" x14ac:dyDescent="0.2">
      <c r="A149" s="16" t="s">
        <v>194</v>
      </c>
      <c r="B149" s="147" t="s">
        <v>195</v>
      </c>
      <c r="C149" s="148"/>
      <c r="D149" s="148"/>
      <c r="E149" s="148"/>
      <c r="F149" s="148"/>
      <c r="G149" s="148"/>
      <c r="H149" s="148"/>
      <c r="I149" s="149"/>
      <c r="J149" s="5">
        <v>6</v>
      </c>
      <c r="K149" s="5">
        <v>2</v>
      </c>
      <c r="L149" s="5">
        <v>1</v>
      </c>
      <c r="M149" s="5">
        <v>0</v>
      </c>
      <c r="N149" s="7">
        <f t="shared" si="19"/>
        <v>3</v>
      </c>
      <c r="O149" s="8">
        <f t="shared" si="20"/>
        <v>8</v>
      </c>
      <c r="P149" s="8">
        <f t="shared" si="21"/>
        <v>11</v>
      </c>
      <c r="Q149" s="55" t="s">
        <v>29</v>
      </c>
      <c r="R149" s="5"/>
      <c r="S149" s="12"/>
      <c r="T149" s="12" t="s">
        <v>34</v>
      </c>
    </row>
    <row r="150" spans="1:23" ht="28.35" customHeight="1" x14ac:dyDescent="0.2">
      <c r="A150" s="16" t="s">
        <v>196</v>
      </c>
      <c r="B150" s="92" t="s">
        <v>197</v>
      </c>
      <c r="C150" s="93"/>
      <c r="D150" s="93"/>
      <c r="E150" s="93"/>
      <c r="F150" s="93"/>
      <c r="G150" s="93"/>
      <c r="H150" s="93"/>
      <c r="I150" s="94"/>
      <c r="J150" s="5">
        <v>5</v>
      </c>
      <c r="K150" s="5">
        <v>2</v>
      </c>
      <c r="L150" s="5">
        <v>1</v>
      </c>
      <c r="M150" s="5">
        <v>0</v>
      </c>
      <c r="N150" s="7">
        <f t="shared" si="19"/>
        <v>3</v>
      </c>
      <c r="O150" s="8">
        <f t="shared" si="20"/>
        <v>6</v>
      </c>
      <c r="P150" s="8">
        <f t="shared" si="21"/>
        <v>9</v>
      </c>
      <c r="Q150" s="55"/>
      <c r="R150" s="12" t="s">
        <v>25</v>
      </c>
      <c r="S150" s="12"/>
      <c r="T150" s="12" t="s">
        <v>88</v>
      </c>
    </row>
    <row r="151" spans="1:23" ht="19.7" customHeight="1" x14ac:dyDescent="0.2">
      <c r="A151" s="16" t="s">
        <v>198</v>
      </c>
      <c r="B151" s="147" t="s">
        <v>199</v>
      </c>
      <c r="C151" s="148"/>
      <c r="D151" s="148"/>
      <c r="E151" s="148"/>
      <c r="F151" s="148"/>
      <c r="G151" s="148"/>
      <c r="H151" s="148"/>
      <c r="I151" s="149"/>
      <c r="J151" s="5">
        <v>4</v>
      </c>
      <c r="K151" s="5">
        <v>0</v>
      </c>
      <c r="L151" s="5">
        <v>4</v>
      </c>
      <c r="M151" s="5">
        <v>0</v>
      </c>
      <c r="N151" s="7">
        <f t="shared" si="19"/>
        <v>4</v>
      </c>
      <c r="O151" s="8">
        <f t="shared" si="20"/>
        <v>3</v>
      </c>
      <c r="P151" s="8">
        <f t="shared" si="21"/>
        <v>7</v>
      </c>
      <c r="Q151" s="55"/>
      <c r="R151" s="12" t="s">
        <v>25</v>
      </c>
      <c r="S151" s="12"/>
      <c r="T151" s="12" t="s">
        <v>88</v>
      </c>
    </row>
    <row r="152" spans="1:23" ht="19.7" customHeight="1" x14ac:dyDescent="0.2">
      <c r="A152" s="16" t="s">
        <v>200</v>
      </c>
      <c r="B152" s="147" t="s">
        <v>201</v>
      </c>
      <c r="C152" s="148"/>
      <c r="D152" s="148"/>
      <c r="E152" s="148"/>
      <c r="F152" s="148"/>
      <c r="G152" s="148"/>
      <c r="H152" s="148"/>
      <c r="I152" s="149"/>
      <c r="J152" s="5">
        <v>3</v>
      </c>
      <c r="K152" s="5">
        <v>2</v>
      </c>
      <c r="L152" s="5">
        <v>0</v>
      </c>
      <c r="M152" s="5">
        <v>0</v>
      </c>
      <c r="N152" s="7">
        <f t="shared" si="19"/>
        <v>2</v>
      </c>
      <c r="O152" s="8">
        <f t="shared" si="20"/>
        <v>3</v>
      </c>
      <c r="P152" s="8">
        <f t="shared" si="21"/>
        <v>5</v>
      </c>
      <c r="Q152" s="55" t="s">
        <v>29</v>
      </c>
      <c r="R152" s="5"/>
      <c r="S152" s="12"/>
      <c r="T152" s="12" t="s">
        <v>88</v>
      </c>
    </row>
    <row r="153" spans="1:23" x14ac:dyDescent="0.2">
      <c r="A153" s="9" t="s">
        <v>22</v>
      </c>
      <c r="B153" s="138"/>
      <c r="C153" s="139"/>
      <c r="D153" s="139"/>
      <c r="E153" s="139"/>
      <c r="F153" s="139"/>
      <c r="G153" s="139"/>
      <c r="H153" s="139"/>
      <c r="I153" s="140"/>
      <c r="J153" s="9">
        <f t="shared" ref="J153:P153" si="22">SUM(J147:J152)</f>
        <v>30</v>
      </c>
      <c r="K153" s="9">
        <f t="shared" si="22"/>
        <v>10</v>
      </c>
      <c r="L153" s="9">
        <f t="shared" si="22"/>
        <v>8</v>
      </c>
      <c r="M153" s="9">
        <f t="shared" si="22"/>
        <v>0</v>
      </c>
      <c r="N153" s="9">
        <f t="shared" si="22"/>
        <v>18</v>
      </c>
      <c r="O153" s="9">
        <f t="shared" si="22"/>
        <v>36</v>
      </c>
      <c r="P153" s="9">
        <f t="shared" si="22"/>
        <v>54</v>
      </c>
      <c r="Q153" s="9">
        <f>COUNTIF(Q147:Q152,"E")</f>
        <v>4</v>
      </c>
      <c r="R153" s="9">
        <f>COUNTIF(R147:R152,"C")</f>
        <v>2</v>
      </c>
      <c r="S153" s="9">
        <f>COUNTIF(S147:S152,"VP")</f>
        <v>0</v>
      </c>
      <c r="T153" s="33">
        <f>COUNTA(T147:T152)</f>
        <v>6</v>
      </c>
      <c r="U153" s="255" t="str">
        <f>IF(Q153&gt;=SUM(R153:S153),"Corect","E trebuie să fie cel puțin egal cu C+VP")</f>
        <v>Corect</v>
      </c>
      <c r="V153" s="256"/>
      <c r="W153" s="256"/>
    </row>
    <row r="154" spans="1:23" x14ac:dyDescent="0.2">
      <c r="V154" s="38"/>
      <c r="W154" s="38"/>
    </row>
    <row r="156" spans="1:23" x14ac:dyDescent="0.2">
      <c r="A156" s="122" t="s">
        <v>40</v>
      </c>
      <c r="B156" s="123"/>
      <c r="C156" s="123"/>
      <c r="D156" s="123"/>
      <c r="E156" s="123"/>
      <c r="F156" s="123"/>
      <c r="G156" s="123"/>
      <c r="H156" s="123"/>
      <c r="I156" s="123"/>
      <c r="J156" s="123"/>
      <c r="K156" s="123"/>
      <c r="L156" s="123"/>
      <c r="M156" s="123"/>
      <c r="N156" s="123"/>
      <c r="O156" s="123"/>
      <c r="P156" s="123"/>
      <c r="Q156" s="123"/>
      <c r="R156" s="123"/>
      <c r="S156" s="123"/>
      <c r="T156" s="124"/>
    </row>
    <row r="157" spans="1:23" x14ac:dyDescent="0.2">
      <c r="A157" s="125"/>
      <c r="B157" s="96"/>
      <c r="C157" s="96"/>
      <c r="D157" s="96"/>
      <c r="E157" s="96"/>
      <c r="F157" s="96"/>
      <c r="G157" s="96"/>
      <c r="H157" s="96"/>
      <c r="I157" s="96"/>
      <c r="J157" s="96"/>
      <c r="K157" s="96"/>
      <c r="L157" s="96"/>
      <c r="M157" s="96"/>
      <c r="N157" s="96"/>
      <c r="O157" s="96"/>
      <c r="P157" s="96"/>
      <c r="Q157" s="96"/>
      <c r="R157" s="96"/>
      <c r="S157" s="96"/>
      <c r="T157" s="126"/>
    </row>
    <row r="158" spans="1:23" x14ac:dyDescent="0.2">
      <c r="A158" s="135" t="s">
        <v>24</v>
      </c>
      <c r="B158" s="122" t="s">
        <v>23</v>
      </c>
      <c r="C158" s="123"/>
      <c r="D158" s="123"/>
      <c r="E158" s="123"/>
      <c r="F158" s="123"/>
      <c r="G158" s="123"/>
      <c r="H158" s="123"/>
      <c r="I158" s="124"/>
      <c r="J158" s="101" t="s">
        <v>35</v>
      </c>
      <c r="K158" s="104" t="s">
        <v>21</v>
      </c>
      <c r="L158" s="105"/>
      <c r="M158" s="106"/>
      <c r="N158" s="104" t="s">
        <v>36</v>
      </c>
      <c r="O158" s="105"/>
      <c r="P158" s="106"/>
      <c r="Q158" s="121" t="s">
        <v>20</v>
      </c>
      <c r="R158" s="121"/>
      <c r="S158" s="121"/>
      <c r="T158" s="121" t="s">
        <v>19</v>
      </c>
    </row>
    <row r="159" spans="1:23" x14ac:dyDescent="0.2">
      <c r="A159" s="136"/>
      <c r="B159" s="125"/>
      <c r="C159" s="96"/>
      <c r="D159" s="96"/>
      <c r="E159" s="96"/>
      <c r="F159" s="96"/>
      <c r="G159" s="96"/>
      <c r="H159" s="96"/>
      <c r="I159" s="126"/>
      <c r="J159" s="102"/>
      <c r="K159" s="107"/>
      <c r="L159" s="108"/>
      <c r="M159" s="109"/>
      <c r="N159" s="107"/>
      <c r="O159" s="108"/>
      <c r="P159" s="109"/>
      <c r="Q159" s="121"/>
      <c r="R159" s="121"/>
      <c r="S159" s="121"/>
      <c r="T159" s="121"/>
    </row>
    <row r="160" spans="1:23" x14ac:dyDescent="0.2">
      <c r="A160" s="137"/>
      <c r="B160" s="127"/>
      <c r="C160" s="128"/>
      <c r="D160" s="128"/>
      <c r="E160" s="128"/>
      <c r="F160" s="128"/>
      <c r="G160" s="128"/>
      <c r="H160" s="128"/>
      <c r="I160" s="129"/>
      <c r="J160" s="103"/>
      <c r="K160" s="3" t="s">
        <v>25</v>
      </c>
      <c r="L160" s="3" t="s">
        <v>26</v>
      </c>
      <c r="M160" s="3" t="s">
        <v>27</v>
      </c>
      <c r="N160" s="3" t="s">
        <v>31</v>
      </c>
      <c r="O160" s="3" t="s">
        <v>5</v>
      </c>
      <c r="P160" s="3" t="s">
        <v>28</v>
      </c>
      <c r="Q160" s="3" t="s">
        <v>29</v>
      </c>
      <c r="R160" s="3" t="s">
        <v>25</v>
      </c>
      <c r="S160" s="3" t="s">
        <v>30</v>
      </c>
      <c r="T160" s="121"/>
    </row>
    <row r="161" spans="1:25" ht="28.35" customHeight="1" x14ac:dyDescent="0.2">
      <c r="A161" s="16" t="s">
        <v>202</v>
      </c>
      <c r="B161" s="92" t="s">
        <v>203</v>
      </c>
      <c r="C161" s="93"/>
      <c r="D161" s="93"/>
      <c r="E161" s="93"/>
      <c r="F161" s="93"/>
      <c r="G161" s="93"/>
      <c r="H161" s="93"/>
      <c r="I161" s="94"/>
      <c r="J161" s="5">
        <v>8</v>
      </c>
      <c r="K161" s="5">
        <v>2</v>
      </c>
      <c r="L161" s="5">
        <v>1</v>
      </c>
      <c r="M161" s="5">
        <v>0</v>
      </c>
      <c r="N161" s="7">
        <f>K161+L161+M161</f>
        <v>3</v>
      </c>
      <c r="O161" s="8">
        <f>P161-N161</f>
        <v>14</v>
      </c>
      <c r="P161" s="8">
        <f>ROUND(PRODUCT(J161,25)/12,0)</f>
        <v>17</v>
      </c>
      <c r="Q161" s="55" t="s">
        <v>29</v>
      </c>
      <c r="R161" s="5"/>
      <c r="S161" s="12"/>
      <c r="T161" s="71" t="s">
        <v>87</v>
      </c>
      <c r="U161" s="131" t="str">
        <f>IF(J165&gt;=30,"Corect","Sunt necesare cel puțin 30 de credite")</f>
        <v>Corect</v>
      </c>
      <c r="V161" s="132"/>
      <c r="W161" s="132"/>
    </row>
    <row r="162" spans="1:25" ht="28.35" customHeight="1" x14ac:dyDescent="0.2">
      <c r="A162" s="16" t="s">
        <v>204</v>
      </c>
      <c r="B162" s="92" t="s">
        <v>205</v>
      </c>
      <c r="C162" s="93"/>
      <c r="D162" s="93"/>
      <c r="E162" s="93"/>
      <c r="F162" s="93"/>
      <c r="G162" s="93"/>
      <c r="H162" s="93"/>
      <c r="I162" s="94"/>
      <c r="J162" s="5">
        <v>8</v>
      </c>
      <c r="K162" s="5">
        <v>2</v>
      </c>
      <c r="L162" s="5">
        <v>1</v>
      </c>
      <c r="M162" s="5">
        <v>0</v>
      </c>
      <c r="N162" s="7">
        <f t="shared" ref="N162:N164" si="23">K162+L162+M162</f>
        <v>3</v>
      </c>
      <c r="O162" s="8">
        <f t="shared" ref="O162:O164" si="24">P162-N162</f>
        <v>14</v>
      </c>
      <c r="P162" s="8">
        <f t="shared" ref="P162:P164" si="25">ROUND(PRODUCT(J162,25)/12,0)</f>
        <v>17</v>
      </c>
      <c r="Q162" s="55" t="s">
        <v>29</v>
      </c>
      <c r="R162" s="5"/>
      <c r="S162" s="12"/>
      <c r="T162" s="71" t="s">
        <v>88</v>
      </c>
    </row>
    <row r="163" spans="1:25" ht="19.7" customHeight="1" x14ac:dyDescent="0.2">
      <c r="A163" s="16" t="s">
        <v>206</v>
      </c>
      <c r="B163" s="147" t="s">
        <v>207</v>
      </c>
      <c r="C163" s="148"/>
      <c r="D163" s="148"/>
      <c r="E163" s="148"/>
      <c r="F163" s="148"/>
      <c r="G163" s="148"/>
      <c r="H163" s="148"/>
      <c r="I163" s="149"/>
      <c r="J163" s="5">
        <v>7</v>
      </c>
      <c r="K163" s="5">
        <v>0</v>
      </c>
      <c r="L163" s="5">
        <v>4</v>
      </c>
      <c r="M163" s="5">
        <v>0</v>
      </c>
      <c r="N163" s="7">
        <f t="shared" si="23"/>
        <v>4</v>
      </c>
      <c r="O163" s="8">
        <f t="shared" si="24"/>
        <v>11</v>
      </c>
      <c r="P163" s="8">
        <f t="shared" si="25"/>
        <v>15</v>
      </c>
      <c r="Q163" s="55" t="s">
        <v>29</v>
      </c>
      <c r="R163" s="5"/>
      <c r="S163" s="12"/>
      <c r="T163" s="71" t="s">
        <v>88</v>
      </c>
      <c r="U163" s="63" t="s">
        <v>246</v>
      </c>
      <c r="V163" s="63"/>
    </row>
    <row r="164" spans="1:25" ht="28.35" customHeight="1" x14ac:dyDescent="0.2">
      <c r="A164" s="16" t="s">
        <v>208</v>
      </c>
      <c r="B164" s="92" t="s">
        <v>209</v>
      </c>
      <c r="C164" s="93"/>
      <c r="D164" s="93"/>
      <c r="E164" s="93"/>
      <c r="F164" s="93"/>
      <c r="G164" s="93"/>
      <c r="H164" s="93"/>
      <c r="I164" s="94"/>
      <c r="J164" s="5">
        <v>7</v>
      </c>
      <c r="K164" s="5">
        <v>2</v>
      </c>
      <c r="L164" s="5">
        <v>1</v>
      </c>
      <c r="M164" s="5">
        <v>0</v>
      </c>
      <c r="N164" s="7">
        <f t="shared" si="23"/>
        <v>3</v>
      </c>
      <c r="O164" s="8">
        <f t="shared" si="24"/>
        <v>12</v>
      </c>
      <c r="P164" s="8">
        <f t="shared" si="25"/>
        <v>15</v>
      </c>
      <c r="Q164" s="55" t="s">
        <v>29</v>
      </c>
      <c r="R164" s="5"/>
      <c r="S164" s="12"/>
      <c r="T164" s="71" t="s">
        <v>88</v>
      </c>
    </row>
    <row r="165" spans="1:25" x14ac:dyDescent="0.2">
      <c r="A165" s="9" t="s">
        <v>22</v>
      </c>
      <c r="B165" s="138"/>
      <c r="C165" s="139"/>
      <c r="D165" s="139"/>
      <c r="E165" s="139"/>
      <c r="F165" s="139"/>
      <c r="G165" s="139"/>
      <c r="H165" s="139"/>
      <c r="I165" s="140"/>
      <c r="J165" s="9">
        <f t="shared" ref="J165:O165" si="26">SUM(J161:J164)</f>
        <v>30</v>
      </c>
      <c r="K165" s="9">
        <f t="shared" si="26"/>
        <v>6</v>
      </c>
      <c r="L165" s="9">
        <f t="shared" si="26"/>
        <v>7</v>
      </c>
      <c r="M165" s="9">
        <f t="shared" si="26"/>
        <v>0</v>
      </c>
      <c r="N165" s="9">
        <f t="shared" si="26"/>
        <v>13</v>
      </c>
      <c r="O165" s="9">
        <f t="shared" si="26"/>
        <v>51</v>
      </c>
      <c r="P165" s="10">
        <f>SUM(P161:P164)</f>
        <v>64</v>
      </c>
      <c r="Q165" s="9">
        <f>COUNTIF(Q161:Q164,"E")</f>
        <v>4</v>
      </c>
      <c r="R165" s="9">
        <f>COUNTIF(R161:R164,"C")</f>
        <v>0</v>
      </c>
      <c r="S165" s="9">
        <f>COUNTIF(S161:S164,"VP")</f>
        <v>0</v>
      </c>
      <c r="T165" s="33">
        <f>COUNTA(T161:T164)</f>
        <v>4</v>
      </c>
      <c r="U165" s="255" t="str">
        <f>IF(Q165&gt;=SUM(R165:S165),"Corect","E trebuie să fie cel puțin egal cu C+VP")</f>
        <v>Corect</v>
      </c>
      <c r="V165" s="256"/>
      <c r="W165" s="256"/>
    </row>
    <row r="166" spans="1:25" x14ac:dyDescent="0.2">
      <c r="V166" s="38"/>
      <c r="W166" s="38"/>
    </row>
    <row r="167" spans="1:25" x14ac:dyDescent="0.2">
      <c r="B167" s="4"/>
      <c r="C167" s="4"/>
      <c r="D167" s="4"/>
      <c r="E167" s="4"/>
      <c r="F167" s="4"/>
      <c r="G167" s="4"/>
      <c r="M167" s="4"/>
      <c r="N167" s="4"/>
      <c r="O167" s="4"/>
      <c r="P167" s="4"/>
      <c r="Q167" s="4"/>
      <c r="R167" s="4"/>
      <c r="S167" s="4"/>
    </row>
    <row r="168" spans="1:25" x14ac:dyDescent="0.2">
      <c r="A168" s="122" t="s">
        <v>41</v>
      </c>
      <c r="B168" s="123"/>
      <c r="C168" s="123"/>
      <c r="D168" s="123"/>
      <c r="E168" s="123"/>
      <c r="F168" s="123"/>
      <c r="G168" s="123"/>
      <c r="H168" s="123"/>
      <c r="I168" s="123"/>
      <c r="J168" s="123"/>
      <c r="K168" s="123"/>
      <c r="L168" s="123"/>
      <c r="M168" s="123"/>
      <c r="N168" s="123"/>
      <c r="O168" s="123"/>
      <c r="P168" s="123"/>
      <c r="Q168" s="123"/>
      <c r="R168" s="123"/>
      <c r="S168" s="123"/>
      <c r="T168" s="124"/>
      <c r="U168" s="2"/>
      <c r="V168" s="2"/>
      <c r="W168" s="2"/>
      <c r="X168" s="2"/>
      <c r="Y168" s="2"/>
    </row>
    <row r="169" spans="1:25" x14ac:dyDescent="0.2">
      <c r="A169" s="127"/>
      <c r="B169" s="128"/>
      <c r="C169" s="128"/>
      <c r="D169" s="128"/>
      <c r="E169" s="128"/>
      <c r="F169" s="128"/>
      <c r="G169" s="128"/>
      <c r="H169" s="128"/>
      <c r="I169" s="128"/>
      <c r="J169" s="128"/>
      <c r="K169" s="128"/>
      <c r="L169" s="128"/>
      <c r="M169" s="128"/>
      <c r="N169" s="128"/>
      <c r="O169" s="128"/>
      <c r="P169" s="128"/>
      <c r="Q169" s="128"/>
      <c r="R169" s="128"/>
      <c r="S169" s="128"/>
      <c r="T169" s="129"/>
      <c r="U169" s="2"/>
      <c r="V169" s="2"/>
      <c r="W169" s="2"/>
      <c r="X169" s="2"/>
      <c r="Y169" s="2"/>
    </row>
    <row r="170" spans="1:25" x14ac:dyDescent="0.2">
      <c r="A170" s="150" t="s">
        <v>24</v>
      </c>
      <c r="B170" s="122" t="s">
        <v>23</v>
      </c>
      <c r="C170" s="123"/>
      <c r="D170" s="123"/>
      <c r="E170" s="123"/>
      <c r="F170" s="123"/>
      <c r="G170" s="123"/>
      <c r="H170" s="123"/>
      <c r="I170" s="124"/>
      <c r="J170" s="121" t="s">
        <v>35</v>
      </c>
      <c r="K170" s="104" t="s">
        <v>21</v>
      </c>
      <c r="L170" s="105"/>
      <c r="M170" s="106"/>
      <c r="N170" s="104" t="s">
        <v>36</v>
      </c>
      <c r="O170" s="105"/>
      <c r="P170" s="106"/>
      <c r="Q170" s="104" t="s">
        <v>20</v>
      </c>
      <c r="R170" s="105"/>
      <c r="S170" s="106"/>
      <c r="T170" s="121" t="s">
        <v>19</v>
      </c>
      <c r="U170" s="2"/>
      <c r="V170" s="2"/>
      <c r="W170" s="2"/>
      <c r="X170" s="2"/>
      <c r="Y170" s="2"/>
    </row>
    <row r="171" spans="1:25" x14ac:dyDescent="0.2">
      <c r="A171" s="150"/>
      <c r="B171" s="125"/>
      <c r="C171" s="96"/>
      <c r="D171" s="96"/>
      <c r="E171" s="96"/>
      <c r="F171" s="96"/>
      <c r="G171" s="96"/>
      <c r="H171" s="96"/>
      <c r="I171" s="126"/>
      <c r="J171" s="121"/>
      <c r="K171" s="107"/>
      <c r="L171" s="108"/>
      <c r="M171" s="109"/>
      <c r="N171" s="107"/>
      <c r="O171" s="108"/>
      <c r="P171" s="109"/>
      <c r="Q171" s="107"/>
      <c r="R171" s="108"/>
      <c r="S171" s="109"/>
      <c r="T171" s="121"/>
      <c r="U171" s="2"/>
      <c r="V171" s="2"/>
      <c r="W171" s="2"/>
      <c r="X171" s="2"/>
      <c r="Y171" s="2"/>
    </row>
    <row r="172" spans="1:25" x14ac:dyDescent="0.2">
      <c r="A172" s="150"/>
      <c r="B172" s="127"/>
      <c r="C172" s="128"/>
      <c r="D172" s="128"/>
      <c r="E172" s="128"/>
      <c r="F172" s="128"/>
      <c r="G172" s="128"/>
      <c r="H172" s="128"/>
      <c r="I172" s="129"/>
      <c r="J172" s="121"/>
      <c r="K172" s="3" t="s">
        <v>25</v>
      </c>
      <c r="L172" s="3" t="s">
        <v>26</v>
      </c>
      <c r="M172" s="3" t="s">
        <v>27</v>
      </c>
      <c r="N172" s="3" t="s">
        <v>31</v>
      </c>
      <c r="O172" s="3" t="s">
        <v>5</v>
      </c>
      <c r="P172" s="3" t="s">
        <v>28</v>
      </c>
      <c r="Q172" s="3" t="s">
        <v>29</v>
      </c>
      <c r="R172" s="3" t="s">
        <v>25</v>
      </c>
      <c r="S172" s="3" t="s">
        <v>30</v>
      </c>
      <c r="T172" s="121"/>
      <c r="U172" s="2"/>
      <c r="V172" s="2"/>
      <c r="W172" s="2"/>
      <c r="X172" s="2"/>
      <c r="Y172" s="2"/>
    </row>
    <row r="173" spans="1:25" x14ac:dyDescent="0.2">
      <c r="A173" s="32"/>
      <c r="B173" s="218" t="s">
        <v>219</v>
      </c>
      <c r="C173" s="218"/>
      <c r="D173" s="218"/>
      <c r="E173" s="218"/>
      <c r="F173" s="218"/>
      <c r="G173" s="218"/>
      <c r="H173" s="218"/>
      <c r="I173" s="218"/>
      <c r="J173" s="218"/>
      <c r="K173" s="218"/>
      <c r="L173" s="218"/>
      <c r="M173" s="218"/>
      <c r="N173" s="218"/>
      <c r="O173" s="218"/>
      <c r="P173" s="218"/>
      <c r="Q173" s="218"/>
      <c r="R173" s="218"/>
      <c r="S173" s="218"/>
      <c r="T173" s="218"/>
      <c r="U173" s="21"/>
      <c r="V173" s="21"/>
      <c r="W173" s="21"/>
      <c r="X173" s="21"/>
      <c r="Y173" s="21"/>
    </row>
    <row r="174" spans="1:25" ht="19.7" customHeight="1" x14ac:dyDescent="0.2">
      <c r="A174" s="57" t="s">
        <v>210</v>
      </c>
      <c r="B174" s="191" t="s">
        <v>211</v>
      </c>
      <c r="C174" s="192"/>
      <c r="D174" s="192"/>
      <c r="E174" s="192"/>
      <c r="F174" s="192"/>
      <c r="G174" s="192"/>
      <c r="H174" s="192"/>
      <c r="I174" s="193"/>
      <c r="J174" s="54">
        <v>3</v>
      </c>
      <c r="K174" s="54">
        <v>2</v>
      </c>
      <c r="L174" s="13">
        <v>0</v>
      </c>
      <c r="M174" s="13">
        <v>0</v>
      </c>
      <c r="N174" s="8">
        <f t="shared" ref="N174:N179" si="27">K174+L174+M174</f>
        <v>2</v>
      </c>
      <c r="O174" s="8">
        <f t="shared" ref="O174:O179" si="28">P174-N174</f>
        <v>3</v>
      </c>
      <c r="P174" s="8">
        <f t="shared" ref="P174:P179" si="29">ROUND(PRODUCT(J174,25)/14,0)</f>
        <v>5</v>
      </c>
      <c r="Q174" s="11" t="s">
        <v>29</v>
      </c>
      <c r="R174" s="5"/>
      <c r="S174" s="12"/>
      <c r="T174" s="12" t="s">
        <v>88</v>
      </c>
      <c r="U174" s="21"/>
      <c r="V174" s="21"/>
      <c r="W174" s="21"/>
      <c r="X174" s="21"/>
      <c r="Y174" s="21"/>
    </row>
    <row r="175" spans="1:25" ht="19.7" customHeight="1" x14ac:dyDescent="0.2">
      <c r="A175" s="57" t="s">
        <v>212</v>
      </c>
      <c r="B175" s="191" t="s">
        <v>213</v>
      </c>
      <c r="C175" s="192"/>
      <c r="D175" s="192"/>
      <c r="E175" s="192"/>
      <c r="F175" s="192"/>
      <c r="G175" s="192"/>
      <c r="H175" s="192"/>
      <c r="I175" s="193"/>
      <c r="J175" s="54">
        <v>3</v>
      </c>
      <c r="K175" s="54">
        <v>2</v>
      </c>
      <c r="L175" s="13">
        <v>0</v>
      </c>
      <c r="M175" s="13">
        <v>0</v>
      </c>
      <c r="N175" s="8">
        <f>K175+L175+M175</f>
        <v>2</v>
      </c>
      <c r="O175" s="8">
        <f>P175-N175</f>
        <v>3</v>
      </c>
      <c r="P175" s="8">
        <f>ROUND(PRODUCT(J175,25)/14,0)</f>
        <v>5</v>
      </c>
      <c r="Q175" s="11" t="s">
        <v>29</v>
      </c>
      <c r="R175" s="5"/>
      <c r="S175" s="12"/>
      <c r="T175" s="12" t="s">
        <v>88</v>
      </c>
      <c r="U175" s="21"/>
      <c r="V175" s="21"/>
      <c r="W175" s="21"/>
      <c r="X175" s="21"/>
      <c r="Y175" s="21"/>
    </row>
    <row r="176" spans="1:25" ht="28.35" customHeight="1" x14ac:dyDescent="0.2">
      <c r="A176" s="58" t="s">
        <v>188</v>
      </c>
      <c r="B176" s="242" t="s">
        <v>214</v>
      </c>
      <c r="C176" s="243"/>
      <c r="D176" s="243"/>
      <c r="E176" s="243"/>
      <c r="F176" s="243"/>
      <c r="G176" s="243"/>
      <c r="H176" s="243"/>
      <c r="I176" s="244"/>
      <c r="J176" s="59">
        <v>3</v>
      </c>
      <c r="K176" s="59">
        <v>2</v>
      </c>
      <c r="L176" s="13">
        <v>0</v>
      </c>
      <c r="M176" s="13">
        <v>0</v>
      </c>
      <c r="N176" s="8">
        <f t="shared" si="27"/>
        <v>2</v>
      </c>
      <c r="O176" s="8">
        <f t="shared" si="28"/>
        <v>3</v>
      </c>
      <c r="P176" s="8">
        <f t="shared" si="29"/>
        <v>5</v>
      </c>
      <c r="Q176" s="11" t="s">
        <v>29</v>
      </c>
      <c r="R176" s="5"/>
      <c r="S176" s="12"/>
      <c r="T176" s="12" t="s">
        <v>88</v>
      </c>
      <c r="U176" s="21"/>
      <c r="V176" s="21"/>
      <c r="W176" s="21"/>
      <c r="X176" s="21"/>
      <c r="Y176" s="21"/>
    </row>
    <row r="177" spans="1:25" x14ac:dyDescent="0.2">
      <c r="A177" s="32"/>
      <c r="B177" s="218" t="s">
        <v>220</v>
      </c>
      <c r="C177" s="218"/>
      <c r="D177" s="218"/>
      <c r="E177" s="218"/>
      <c r="F177" s="218"/>
      <c r="G177" s="218"/>
      <c r="H177" s="218"/>
      <c r="I177" s="218"/>
      <c r="J177" s="218"/>
      <c r="K177" s="218"/>
      <c r="L177" s="218"/>
      <c r="M177" s="218"/>
      <c r="N177" s="218"/>
      <c r="O177" s="218"/>
      <c r="P177" s="218"/>
      <c r="Q177" s="218"/>
      <c r="R177" s="218"/>
      <c r="S177" s="218"/>
      <c r="T177" s="218"/>
      <c r="U177" s="21"/>
      <c r="V177" s="21"/>
      <c r="W177" s="21"/>
      <c r="X177" s="21"/>
      <c r="Y177" s="21"/>
    </row>
    <row r="178" spans="1:25" ht="28.35" customHeight="1" x14ac:dyDescent="0.2">
      <c r="A178" s="60" t="s">
        <v>215</v>
      </c>
      <c r="B178" s="242" t="s">
        <v>216</v>
      </c>
      <c r="C178" s="243"/>
      <c r="D178" s="243"/>
      <c r="E178" s="243"/>
      <c r="F178" s="243"/>
      <c r="G178" s="243"/>
      <c r="H178" s="243"/>
      <c r="I178" s="244"/>
      <c r="J178" s="61">
        <v>3</v>
      </c>
      <c r="K178" s="61">
        <v>2</v>
      </c>
      <c r="L178" s="13">
        <v>0</v>
      </c>
      <c r="M178" s="13">
        <v>0</v>
      </c>
      <c r="N178" s="8">
        <f t="shared" si="27"/>
        <v>2</v>
      </c>
      <c r="O178" s="8">
        <f t="shared" si="28"/>
        <v>3</v>
      </c>
      <c r="P178" s="8">
        <f t="shared" si="29"/>
        <v>5</v>
      </c>
      <c r="Q178" s="65" t="s">
        <v>29</v>
      </c>
      <c r="R178" s="5"/>
      <c r="S178" s="12"/>
      <c r="T178" s="62" t="s">
        <v>88</v>
      </c>
      <c r="U178" s="63" t="s">
        <v>243</v>
      </c>
      <c r="V178" s="64"/>
      <c r="W178" s="66"/>
      <c r="X178" s="66"/>
      <c r="Y178" s="21"/>
    </row>
    <row r="179" spans="1:25" ht="19.7" customHeight="1" x14ac:dyDescent="0.2">
      <c r="A179" s="60" t="s">
        <v>217</v>
      </c>
      <c r="B179" s="194" t="s">
        <v>218</v>
      </c>
      <c r="C179" s="195"/>
      <c r="D179" s="195"/>
      <c r="E179" s="195"/>
      <c r="F179" s="195"/>
      <c r="G179" s="195"/>
      <c r="H179" s="195"/>
      <c r="I179" s="196"/>
      <c r="J179" s="61">
        <v>3</v>
      </c>
      <c r="K179" s="61">
        <v>2</v>
      </c>
      <c r="L179" s="13">
        <v>0</v>
      </c>
      <c r="M179" s="13">
        <v>0</v>
      </c>
      <c r="N179" s="8">
        <f t="shared" si="27"/>
        <v>2</v>
      </c>
      <c r="O179" s="8">
        <f t="shared" si="28"/>
        <v>3</v>
      </c>
      <c r="P179" s="8">
        <f t="shared" si="29"/>
        <v>5</v>
      </c>
      <c r="Q179" s="65" t="s">
        <v>29</v>
      </c>
      <c r="R179" s="5"/>
      <c r="S179" s="12"/>
      <c r="T179" s="62" t="s">
        <v>88</v>
      </c>
      <c r="U179" s="21"/>
      <c r="V179" s="21"/>
      <c r="W179" s="21"/>
      <c r="X179" s="21"/>
      <c r="Y179" s="21"/>
    </row>
    <row r="180" spans="1:25" x14ac:dyDescent="0.2">
      <c r="A180" s="241" t="s">
        <v>77</v>
      </c>
      <c r="B180" s="241"/>
      <c r="C180" s="241"/>
      <c r="D180" s="241"/>
      <c r="E180" s="241"/>
      <c r="F180" s="241"/>
      <c r="G180" s="241"/>
      <c r="H180" s="241"/>
      <c r="I180" s="241"/>
      <c r="J180" s="67">
        <f>SUM(J174,J178)</f>
        <v>6</v>
      </c>
      <c r="K180" s="67">
        <f t="shared" ref="K180:P180" si="30">SUM(K174,K178)</f>
        <v>4</v>
      </c>
      <c r="L180" s="67">
        <f t="shared" si="30"/>
        <v>0</v>
      </c>
      <c r="M180" s="67">
        <f t="shared" si="30"/>
        <v>0</v>
      </c>
      <c r="N180" s="67">
        <f t="shared" si="30"/>
        <v>4</v>
      </c>
      <c r="O180" s="67">
        <f t="shared" si="30"/>
        <v>6</v>
      </c>
      <c r="P180" s="67">
        <f t="shared" si="30"/>
        <v>10</v>
      </c>
      <c r="Q180" s="67">
        <f>COUNTIF(Q174,"E")+COUNTIF(Q178,"E")</f>
        <v>2</v>
      </c>
      <c r="R180" s="67">
        <f>COUNTIF(R174,"C")+COUNTIF(R178,"C")</f>
        <v>0</v>
      </c>
      <c r="S180" s="67">
        <f>COUNTIF(S174,"VP")+COUNTIF(S178,"VP")</f>
        <v>0</v>
      </c>
      <c r="T180" s="68">
        <f>COUNTA(T174,T178)</f>
        <v>2</v>
      </c>
      <c r="U180" s="69" t="s">
        <v>244</v>
      </c>
      <c r="V180" s="70"/>
      <c r="W180" s="22"/>
      <c r="X180" s="22"/>
      <c r="Y180" s="22"/>
    </row>
    <row r="181" spans="1:25" x14ac:dyDescent="0.2">
      <c r="A181" s="169" t="s">
        <v>43</v>
      </c>
      <c r="B181" s="169"/>
      <c r="C181" s="169"/>
      <c r="D181" s="169"/>
      <c r="E181" s="169"/>
      <c r="F181" s="169"/>
      <c r="G181" s="169"/>
      <c r="H181" s="169"/>
      <c r="I181" s="169"/>
      <c r="J181" s="169"/>
      <c r="K181" s="67">
        <f>SUM(K174,K178)*14</f>
        <v>56</v>
      </c>
      <c r="L181" s="67">
        <f t="shared" ref="L181:P181" si="31">SUM(L174,L178)*14</f>
        <v>0</v>
      </c>
      <c r="M181" s="67">
        <f t="shared" si="31"/>
        <v>0</v>
      </c>
      <c r="N181" s="67">
        <f t="shared" si="31"/>
        <v>56</v>
      </c>
      <c r="O181" s="67">
        <f t="shared" si="31"/>
        <v>84</v>
      </c>
      <c r="P181" s="67">
        <f t="shared" si="31"/>
        <v>140</v>
      </c>
      <c r="Q181" s="262"/>
      <c r="R181" s="262"/>
      <c r="S181" s="262"/>
      <c r="T181" s="262"/>
    </row>
    <row r="182" spans="1:25" x14ac:dyDescent="0.2">
      <c r="A182" s="169"/>
      <c r="B182" s="169"/>
      <c r="C182" s="169"/>
      <c r="D182" s="169"/>
      <c r="E182" s="169"/>
      <c r="F182" s="169"/>
      <c r="G182" s="169"/>
      <c r="H182" s="169"/>
      <c r="I182" s="169"/>
      <c r="J182" s="169"/>
      <c r="K182" s="179">
        <f>SUM(K181:M181)</f>
        <v>56</v>
      </c>
      <c r="L182" s="179"/>
      <c r="M182" s="179"/>
      <c r="N182" s="179">
        <f>SUM(N181:O181)</f>
        <v>140</v>
      </c>
      <c r="O182" s="179"/>
      <c r="P182" s="179"/>
      <c r="Q182" s="262"/>
      <c r="R182" s="262"/>
      <c r="S182" s="262"/>
      <c r="T182" s="262"/>
    </row>
    <row r="183" spans="1:25" ht="12.75" customHeight="1" x14ac:dyDescent="0.2">
      <c r="A183" s="199" t="s">
        <v>62</v>
      </c>
      <c r="B183" s="208"/>
      <c r="C183" s="208"/>
      <c r="D183" s="208"/>
      <c r="E183" s="208"/>
      <c r="F183" s="208"/>
      <c r="G183" s="208"/>
      <c r="H183" s="208"/>
      <c r="I183" s="208"/>
      <c r="J183" s="200"/>
      <c r="K183" s="183">
        <f>T180/SUM(T128,T141,T153,T165)</f>
        <v>9.0909090909090912E-2</v>
      </c>
      <c r="L183" s="183"/>
      <c r="M183" s="183"/>
      <c r="N183" s="183"/>
      <c r="O183" s="183"/>
      <c r="P183" s="183"/>
      <c r="Q183" s="183"/>
      <c r="R183" s="183"/>
      <c r="S183" s="183"/>
      <c r="T183" s="183"/>
    </row>
    <row r="184" spans="1:25" x14ac:dyDescent="0.2">
      <c r="A184" s="212" t="s">
        <v>63</v>
      </c>
      <c r="B184" s="212"/>
      <c r="C184" s="212"/>
      <c r="D184" s="212"/>
      <c r="E184" s="212"/>
      <c r="F184" s="212"/>
      <c r="G184" s="212"/>
      <c r="H184" s="212"/>
      <c r="I184" s="212"/>
      <c r="J184" s="212"/>
      <c r="K184" s="183">
        <f>K182/(SUM(N128,N141,N153)*14+N165*12)</f>
        <v>6.1403508771929821E-2</v>
      </c>
      <c r="L184" s="183"/>
      <c r="M184" s="183"/>
      <c r="N184" s="183"/>
      <c r="O184" s="183"/>
      <c r="P184" s="183"/>
      <c r="Q184" s="183"/>
      <c r="R184" s="183"/>
      <c r="S184" s="183"/>
      <c r="T184" s="183"/>
    </row>
    <row r="185" spans="1:25" x14ac:dyDescent="0.2">
      <c r="A185" s="34"/>
      <c r="B185" s="34"/>
      <c r="C185" s="34"/>
      <c r="D185" s="34"/>
      <c r="E185" s="34"/>
      <c r="F185" s="34"/>
      <c r="G185" s="34"/>
      <c r="H185" s="34"/>
      <c r="I185" s="34"/>
      <c r="J185" s="34"/>
      <c r="K185" s="27"/>
      <c r="L185" s="27"/>
      <c r="M185" s="27"/>
      <c r="N185" s="27"/>
      <c r="O185" s="27"/>
      <c r="P185" s="27"/>
      <c r="Q185" s="27"/>
      <c r="R185" s="27"/>
      <c r="S185" s="27"/>
      <c r="T185" s="27"/>
    </row>
    <row r="186" spans="1:25" x14ac:dyDescent="0.2">
      <c r="B186" s="4"/>
      <c r="C186" s="4"/>
      <c r="D186" s="4"/>
      <c r="E186" s="4"/>
      <c r="F186" s="4"/>
      <c r="G186" s="4"/>
      <c r="M186" s="4"/>
      <c r="N186" s="4"/>
      <c r="O186" s="4"/>
      <c r="P186" s="4"/>
      <c r="Q186" s="4"/>
      <c r="R186" s="4"/>
      <c r="S186" s="4"/>
    </row>
    <row r="187" spans="1:25" x14ac:dyDescent="0.2">
      <c r="A187" s="122" t="s">
        <v>245</v>
      </c>
      <c r="B187" s="123"/>
      <c r="C187" s="123"/>
      <c r="D187" s="123"/>
      <c r="E187" s="123"/>
      <c r="F187" s="123"/>
      <c r="G187" s="123"/>
      <c r="H187" s="123"/>
      <c r="I187" s="123"/>
      <c r="J187" s="123"/>
      <c r="K187" s="123"/>
      <c r="L187" s="123"/>
      <c r="M187" s="123"/>
      <c r="N187" s="123"/>
      <c r="O187" s="123"/>
      <c r="P187" s="123"/>
      <c r="Q187" s="123"/>
      <c r="R187" s="123"/>
      <c r="S187" s="123"/>
      <c r="T187" s="124"/>
    </row>
    <row r="188" spans="1:25" x14ac:dyDescent="0.2">
      <c r="A188" s="127"/>
      <c r="B188" s="128"/>
      <c r="C188" s="128"/>
      <c r="D188" s="128"/>
      <c r="E188" s="128"/>
      <c r="F188" s="128"/>
      <c r="G188" s="128"/>
      <c r="H188" s="128"/>
      <c r="I188" s="128"/>
      <c r="J188" s="128"/>
      <c r="K188" s="128"/>
      <c r="L188" s="128"/>
      <c r="M188" s="128"/>
      <c r="N188" s="128"/>
      <c r="O188" s="128"/>
      <c r="P188" s="128"/>
      <c r="Q188" s="128"/>
      <c r="R188" s="128"/>
      <c r="S188" s="128"/>
      <c r="T188" s="129"/>
    </row>
    <row r="189" spans="1:25" x14ac:dyDescent="0.2">
      <c r="A189" s="150" t="s">
        <v>24</v>
      </c>
      <c r="B189" s="122" t="s">
        <v>23</v>
      </c>
      <c r="C189" s="123"/>
      <c r="D189" s="123"/>
      <c r="E189" s="123"/>
      <c r="F189" s="123"/>
      <c r="G189" s="123"/>
      <c r="H189" s="123"/>
      <c r="I189" s="124"/>
      <c r="J189" s="121" t="s">
        <v>35</v>
      </c>
      <c r="K189" s="104" t="s">
        <v>21</v>
      </c>
      <c r="L189" s="105"/>
      <c r="M189" s="106"/>
      <c r="N189" s="104" t="s">
        <v>36</v>
      </c>
      <c r="O189" s="105"/>
      <c r="P189" s="106"/>
      <c r="Q189" s="104" t="s">
        <v>20</v>
      </c>
      <c r="R189" s="105"/>
      <c r="S189" s="106"/>
      <c r="T189" s="121" t="s">
        <v>19</v>
      </c>
    </row>
    <row r="190" spans="1:25" x14ac:dyDescent="0.2">
      <c r="A190" s="150"/>
      <c r="B190" s="125"/>
      <c r="C190" s="96"/>
      <c r="D190" s="96"/>
      <c r="E190" s="96"/>
      <c r="F190" s="96"/>
      <c r="G190" s="96"/>
      <c r="H190" s="96"/>
      <c r="I190" s="126"/>
      <c r="J190" s="121"/>
      <c r="K190" s="107"/>
      <c r="L190" s="108"/>
      <c r="M190" s="109"/>
      <c r="N190" s="107"/>
      <c r="O190" s="108"/>
      <c r="P190" s="109"/>
      <c r="Q190" s="107"/>
      <c r="R190" s="108"/>
      <c r="S190" s="109"/>
      <c r="T190" s="121"/>
    </row>
    <row r="191" spans="1:25" x14ac:dyDescent="0.2">
      <c r="A191" s="150"/>
      <c r="B191" s="127"/>
      <c r="C191" s="128"/>
      <c r="D191" s="128"/>
      <c r="E191" s="128"/>
      <c r="F191" s="128"/>
      <c r="G191" s="128"/>
      <c r="H191" s="128"/>
      <c r="I191" s="129"/>
      <c r="J191" s="121"/>
      <c r="K191" s="3" t="s">
        <v>25</v>
      </c>
      <c r="L191" s="3" t="s">
        <v>26</v>
      </c>
      <c r="M191" s="3" t="s">
        <v>27</v>
      </c>
      <c r="N191" s="3" t="s">
        <v>31</v>
      </c>
      <c r="O191" s="3" t="s">
        <v>5</v>
      </c>
      <c r="P191" s="3" t="s">
        <v>28</v>
      </c>
      <c r="Q191" s="3" t="s">
        <v>29</v>
      </c>
      <c r="R191" s="3" t="s">
        <v>25</v>
      </c>
      <c r="S191" s="3" t="s">
        <v>30</v>
      </c>
      <c r="T191" s="121"/>
    </row>
    <row r="192" spans="1:25" x14ac:dyDescent="0.2">
      <c r="A192" s="150" t="s">
        <v>99</v>
      </c>
      <c r="B192" s="150"/>
      <c r="C192" s="150"/>
      <c r="D192" s="150"/>
      <c r="E192" s="150"/>
      <c r="F192" s="150"/>
      <c r="G192" s="150"/>
      <c r="H192" s="150"/>
      <c r="I192" s="150"/>
      <c r="J192" s="150"/>
      <c r="K192" s="150"/>
      <c r="L192" s="150"/>
      <c r="M192" s="150"/>
      <c r="N192" s="150"/>
      <c r="O192" s="150"/>
      <c r="P192" s="150"/>
      <c r="Q192" s="150"/>
      <c r="R192" s="150"/>
      <c r="S192" s="150"/>
      <c r="T192" s="150"/>
    </row>
    <row r="193" spans="1:26" ht="19.7" customHeight="1" x14ac:dyDescent="0.2">
      <c r="A193" s="30" t="s">
        <v>74</v>
      </c>
      <c r="B193" s="205" t="s">
        <v>78</v>
      </c>
      <c r="C193" s="205"/>
      <c r="D193" s="205"/>
      <c r="E193" s="205"/>
      <c r="F193" s="205"/>
      <c r="G193" s="205"/>
      <c r="H193" s="205"/>
      <c r="I193" s="205"/>
      <c r="J193" s="13">
        <v>3</v>
      </c>
      <c r="K193" s="13">
        <v>2</v>
      </c>
      <c r="L193" s="13">
        <v>0</v>
      </c>
      <c r="M193" s="13">
        <v>0</v>
      </c>
      <c r="N193" s="8">
        <f t="shared" ref="N193" si="32">K193+L193+M193</f>
        <v>2</v>
      </c>
      <c r="O193" s="8">
        <f t="shared" ref="O193" si="33">P193-N193</f>
        <v>3</v>
      </c>
      <c r="P193" s="8">
        <f t="shared" ref="P193" si="34">ROUND(PRODUCT(J193,25)/14,0)</f>
        <v>5</v>
      </c>
      <c r="Q193" s="11"/>
      <c r="R193" s="5"/>
      <c r="S193" s="12" t="s">
        <v>30</v>
      </c>
      <c r="T193" s="5" t="s">
        <v>34</v>
      </c>
    </row>
    <row r="194" spans="1:26" ht="15" customHeight="1" x14ac:dyDescent="0.2">
      <c r="A194" s="215" t="s">
        <v>75</v>
      </c>
      <c r="B194" s="245" t="s">
        <v>79</v>
      </c>
      <c r="C194" s="246"/>
      <c r="D194" s="246"/>
      <c r="E194" s="246"/>
      <c r="F194" s="246"/>
      <c r="G194" s="246"/>
      <c r="H194" s="246"/>
      <c r="I194" s="247"/>
      <c r="J194" s="251">
        <v>3</v>
      </c>
      <c r="K194" s="251">
        <v>2</v>
      </c>
      <c r="L194" s="251">
        <v>0</v>
      </c>
      <c r="M194" s="251">
        <v>0</v>
      </c>
      <c r="N194" s="201">
        <f>K194+L194+M194</f>
        <v>2</v>
      </c>
      <c r="O194" s="201">
        <f>P194-N194</f>
        <v>3</v>
      </c>
      <c r="P194" s="201">
        <f>ROUND(PRODUCT(J194,25)/14,0)</f>
        <v>5</v>
      </c>
      <c r="Q194" s="206"/>
      <c r="R194" s="231"/>
      <c r="S194" s="213" t="s">
        <v>30</v>
      </c>
      <c r="T194" s="231" t="s">
        <v>34</v>
      </c>
    </row>
    <row r="195" spans="1:26" x14ac:dyDescent="0.2">
      <c r="A195" s="216"/>
      <c r="B195" s="248"/>
      <c r="C195" s="249"/>
      <c r="D195" s="249"/>
      <c r="E195" s="249"/>
      <c r="F195" s="249"/>
      <c r="G195" s="249"/>
      <c r="H195" s="249"/>
      <c r="I195" s="250"/>
      <c r="J195" s="252"/>
      <c r="K195" s="252"/>
      <c r="L195" s="252"/>
      <c r="M195" s="252"/>
      <c r="N195" s="202"/>
      <c r="O195" s="202"/>
      <c r="P195" s="202"/>
      <c r="Q195" s="207"/>
      <c r="R195" s="232"/>
      <c r="S195" s="214"/>
      <c r="T195" s="232"/>
      <c r="U195" s="21"/>
      <c r="V195" s="21"/>
      <c r="W195" s="21"/>
      <c r="X195" s="21"/>
      <c r="Y195" s="21"/>
      <c r="Z195" s="21"/>
    </row>
    <row r="196" spans="1:26" x14ac:dyDescent="0.2">
      <c r="A196" s="169" t="s">
        <v>76</v>
      </c>
      <c r="B196" s="169"/>
      <c r="C196" s="169"/>
      <c r="D196" s="169"/>
      <c r="E196" s="169"/>
      <c r="F196" s="169"/>
      <c r="G196" s="169"/>
      <c r="H196" s="169"/>
      <c r="I196" s="169"/>
      <c r="J196" s="10">
        <f>SUM(J193:J195)</f>
        <v>6</v>
      </c>
      <c r="K196" s="10">
        <f t="shared" ref="K196:P196" si="35">SUM(K193:K195)</f>
        <v>4</v>
      </c>
      <c r="L196" s="10">
        <f t="shared" si="35"/>
        <v>0</v>
      </c>
      <c r="M196" s="10">
        <f t="shared" si="35"/>
        <v>0</v>
      </c>
      <c r="N196" s="10">
        <f t="shared" si="35"/>
        <v>4</v>
      </c>
      <c r="O196" s="10">
        <f t="shared" si="35"/>
        <v>6</v>
      </c>
      <c r="P196" s="10">
        <f t="shared" si="35"/>
        <v>10</v>
      </c>
      <c r="Q196" s="10">
        <f>COUNTIF(Q193:Q195,"E")</f>
        <v>0</v>
      </c>
      <c r="R196" s="10">
        <f>COUNTIF(R193:R195,"C")</f>
        <v>0</v>
      </c>
      <c r="S196" s="10">
        <f>COUNTIF(S193:S195,"VP")</f>
        <v>2</v>
      </c>
      <c r="T196" s="31">
        <f>COUNTA(T193:T195)</f>
        <v>2</v>
      </c>
    </row>
    <row r="197" spans="1:26" x14ac:dyDescent="0.2">
      <c r="A197" s="169" t="s">
        <v>43</v>
      </c>
      <c r="B197" s="169"/>
      <c r="C197" s="169"/>
      <c r="D197" s="169"/>
      <c r="E197" s="169"/>
      <c r="F197" s="169"/>
      <c r="G197" s="169"/>
      <c r="H197" s="169"/>
      <c r="I197" s="169"/>
      <c r="J197" s="169"/>
      <c r="K197" s="10">
        <f>SUM(K193:K195)*14</f>
        <v>56</v>
      </c>
      <c r="L197" s="10">
        <f t="shared" ref="L197:P197" si="36">SUM(L193:L195)*14</f>
        <v>0</v>
      </c>
      <c r="M197" s="10">
        <f t="shared" si="36"/>
        <v>0</v>
      </c>
      <c r="N197" s="10">
        <f t="shared" si="36"/>
        <v>56</v>
      </c>
      <c r="O197" s="10">
        <f t="shared" si="36"/>
        <v>84</v>
      </c>
      <c r="P197" s="10">
        <f t="shared" si="36"/>
        <v>140</v>
      </c>
      <c r="Q197" s="178"/>
      <c r="R197" s="178"/>
      <c r="S197" s="178"/>
      <c r="T197" s="178"/>
    </row>
    <row r="198" spans="1:26" x14ac:dyDescent="0.2">
      <c r="A198" s="169"/>
      <c r="B198" s="169"/>
      <c r="C198" s="169"/>
      <c r="D198" s="169"/>
      <c r="E198" s="169"/>
      <c r="F198" s="169"/>
      <c r="G198" s="169"/>
      <c r="H198" s="169"/>
      <c r="I198" s="169"/>
      <c r="J198" s="169"/>
      <c r="K198" s="179">
        <f>SUM(K197:M197)</f>
        <v>56</v>
      </c>
      <c r="L198" s="179"/>
      <c r="M198" s="179"/>
      <c r="N198" s="179">
        <f>SUM(N197:O197)</f>
        <v>140</v>
      </c>
      <c r="O198" s="179"/>
      <c r="P198" s="179"/>
      <c r="Q198" s="178"/>
      <c r="R198" s="178"/>
      <c r="S198" s="178"/>
      <c r="T198" s="178"/>
    </row>
    <row r="199" spans="1:26" ht="12.75" customHeight="1" x14ac:dyDescent="0.2">
      <c r="A199" s="199" t="s">
        <v>62</v>
      </c>
      <c r="B199" s="208"/>
      <c r="C199" s="208"/>
      <c r="D199" s="208"/>
      <c r="E199" s="208"/>
      <c r="F199" s="208"/>
      <c r="G199" s="208"/>
      <c r="H199" s="208"/>
      <c r="I199" s="208"/>
      <c r="J199" s="200"/>
      <c r="K199" s="209">
        <f>T196/SUM(T128,T141,T153,T165)</f>
        <v>9.0909090909090912E-2</v>
      </c>
      <c r="L199" s="210"/>
      <c r="M199" s="210"/>
      <c r="N199" s="210"/>
      <c r="O199" s="210"/>
      <c r="P199" s="210"/>
      <c r="Q199" s="210"/>
      <c r="R199" s="210"/>
      <c r="S199" s="210"/>
      <c r="T199" s="211"/>
    </row>
    <row r="200" spans="1:26" x14ac:dyDescent="0.2">
      <c r="A200" s="212" t="s">
        <v>63</v>
      </c>
      <c r="B200" s="212"/>
      <c r="C200" s="212"/>
      <c r="D200" s="212"/>
      <c r="E200" s="212"/>
      <c r="F200" s="212"/>
      <c r="G200" s="212"/>
      <c r="H200" s="212"/>
      <c r="I200" s="212"/>
      <c r="J200" s="212"/>
      <c r="K200" s="209">
        <f>K198/(SUM(N128,N141,N153)*14+N165*12)</f>
        <v>6.1403508771929821E-2</v>
      </c>
      <c r="L200" s="210"/>
      <c r="M200" s="210"/>
      <c r="N200" s="210"/>
      <c r="O200" s="210"/>
      <c r="P200" s="210"/>
      <c r="Q200" s="210"/>
      <c r="R200" s="210"/>
      <c r="S200" s="210"/>
      <c r="T200" s="211"/>
    </row>
    <row r="201" spans="1:26" x14ac:dyDescent="0.2">
      <c r="A201" s="203" t="s">
        <v>80</v>
      </c>
      <c r="B201" s="203"/>
      <c r="C201" s="203"/>
      <c r="D201" s="203"/>
      <c r="E201" s="203"/>
      <c r="F201" s="203"/>
      <c r="G201" s="203"/>
      <c r="H201" s="203"/>
      <c r="I201" s="203"/>
      <c r="J201" s="203"/>
      <c r="K201" s="203"/>
      <c r="L201" s="203"/>
      <c r="M201" s="203"/>
      <c r="N201" s="203"/>
      <c r="O201" s="203"/>
      <c r="P201" s="203"/>
      <c r="Q201" s="203"/>
      <c r="R201" s="203"/>
      <c r="S201" s="203"/>
      <c r="T201" s="203"/>
    </row>
    <row r="202" spans="1:26" x14ac:dyDescent="0.2">
      <c r="A202" s="204"/>
      <c r="B202" s="204"/>
      <c r="C202" s="204"/>
      <c r="D202" s="204"/>
      <c r="E202" s="204"/>
      <c r="F202" s="204"/>
      <c r="G202" s="204"/>
      <c r="H202" s="204"/>
      <c r="I202" s="204"/>
      <c r="J202" s="204"/>
      <c r="K202" s="204"/>
      <c r="L202" s="204"/>
      <c r="M202" s="204"/>
      <c r="N202" s="204"/>
      <c r="O202" s="204"/>
      <c r="P202" s="204"/>
      <c r="Q202" s="204"/>
      <c r="R202" s="204"/>
      <c r="S202" s="204"/>
      <c r="T202" s="204"/>
    </row>
    <row r="203" spans="1:26" x14ac:dyDescent="0.2">
      <c r="A203" s="204"/>
      <c r="B203" s="204"/>
      <c r="C203" s="204"/>
      <c r="D203" s="204"/>
      <c r="E203" s="204"/>
      <c r="F203" s="204"/>
      <c r="G203" s="204"/>
      <c r="H203" s="204"/>
      <c r="I203" s="204"/>
      <c r="J203" s="204"/>
      <c r="K203" s="204"/>
      <c r="L203" s="204"/>
      <c r="M203" s="204"/>
      <c r="N203" s="204"/>
      <c r="O203" s="204"/>
      <c r="P203" s="204"/>
      <c r="Q203" s="204"/>
      <c r="R203" s="204"/>
      <c r="S203" s="204"/>
      <c r="T203" s="204"/>
    </row>
    <row r="204" spans="1:26" x14ac:dyDescent="0.2">
      <c r="A204" s="204"/>
      <c r="B204" s="204"/>
      <c r="C204" s="204"/>
      <c r="D204" s="204"/>
      <c r="E204" s="204"/>
      <c r="F204" s="204"/>
      <c r="G204" s="204"/>
      <c r="H204" s="204"/>
      <c r="I204" s="204"/>
      <c r="J204" s="204"/>
      <c r="K204" s="204"/>
      <c r="L204" s="204"/>
      <c r="M204" s="204"/>
      <c r="N204" s="204"/>
      <c r="O204" s="204"/>
      <c r="P204" s="204"/>
      <c r="Q204" s="204"/>
      <c r="R204" s="204"/>
      <c r="S204" s="204"/>
      <c r="T204" s="204"/>
    </row>
    <row r="205" spans="1:26" x14ac:dyDescent="0.2">
      <c r="A205" s="26"/>
      <c r="B205" s="26"/>
      <c r="C205" s="26"/>
      <c r="D205" s="26"/>
      <c r="E205" s="26"/>
      <c r="F205" s="26"/>
      <c r="G205" s="26"/>
      <c r="H205" s="26"/>
      <c r="I205" s="26"/>
      <c r="J205" s="26"/>
      <c r="K205" s="27"/>
      <c r="L205" s="27"/>
      <c r="M205" s="27"/>
      <c r="N205" s="27"/>
      <c r="O205" s="27"/>
      <c r="P205" s="27"/>
      <c r="Q205" s="27"/>
      <c r="R205" s="27"/>
      <c r="S205" s="27"/>
      <c r="T205" s="27"/>
    </row>
    <row r="206" spans="1:26" x14ac:dyDescent="0.2">
      <c r="A206" s="26"/>
      <c r="B206" s="26"/>
      <c r="C206" s="26"/>
      <c r="D206" s="26"/>
      <c r="E206" s="26"/>
      <c r="F206" s="26"/>
      <c r="G206" s="26"/>
      <c r="H206" s="26"/>
      <c r="I206" s="26"/>
      <c r="J206" s="26"/>
      <c r="K206" s="27"/>
      <c r="L206" s="27"/>
      <c r="M206" s="27"/>
      <c r="N206" s="27"/>
      <c r="O206" s="27"/>
      <c r="P206" s="27"/>
      <c r="Q206" s="27"/>
      <c r="R206" s="27"/>
      <c r="S206" s="27"/>
      <c r="T206" s="27"/>
    </row>
    <row r="207" spans="1:26" x14ac:dyDescent="0.2">
      <c r="A207" s="26"/>
      <c r="B207" s="26"/>
      <c r="C207" s="26"/>
      <c r="D207" s="26"/>
      <c r="E207" s="26"/>
      <c r="F207" s="26"/>
      <c r="G207" s="26"/>
      <c r="H207" s="26"/>
      <c r="I207" s="26"/>
      <c r="J207" s="26"/>
      <c r="K207" s="27"/>
      <c r="L207" s="27"/>
      <c r="M207" s="27"/>
      <c r="N207" s="27"/>
      <c r="O207" s="27"/>
      <c r="P207" s="27"/>
      <c r="Q207" s="27"/>
      <c r="R207" s="27"/>
      <c r="S207" s="27"/>
      <c r="T207" s="27"/>
    </row>
    <row r="208" spans="1:26" x14ac:dyDescent="0.2">
      <c r="A208" s="26"/>
      <c r="B208" s="26"/>
      <c r="C208" s="26"/>
      <c r="D208" s="26"/>
      <c r="E208" s="26"/>
      <c r="F208" s="26"/>
      <c r="G208" s="26"/>
      <c r="H208" s="26"/>
      <c r="I208" s="26"/>
      <c r="J208" s="26"/>
      <c r="K208" s="27"/>
      <c r="L208" s="27"/>
      <c r="M208" s="27"/>
      <c r="N208" s="27"/>
      <c r="O208" s="27"/>
      <c r="P208" s="27"/>
      <c r="Q208" s="27"/>
      <c r="R208" s="27"/>
      <c r="S208" s="27"/>
      <c r="T208" s="27"/>
    </row>
    <row r="209" spans="1:26" x14ac:dyDescent="0.2">
      <c r="A209" s="233" t="s">
        <v>81</v>
      </c>
      <c r="B209" s="233"/>
      <c r="C209" s="233"/>
      <c r="D209" s="233"/>
      <c r="E209" s="233"/>
      <c r="F209" s="233"/>
      <c r="G209" s="233"/>
      <c r="H209" s="233"/>
      <c r="I209" s="233"/>
      <c r="J209" s="233"/>
      <c r="K209" s="233"/>
      <c r="L209" s="233"/>
      <c r="M209" s="233"/>
      <c r="N209" s="233"/>
      <c r="O209" s="233"/>
      <c r="P209" s="233"/>
      <c r="Q209" s="233"/>
      <c r="R209" s="233"/>
      <c r="S209" s="233"/>
      <c r="T209" s="233"/>
    </row>
    <row r="210" spans="1:26" x14ac:dyDescent="0.2">
      <c r="A210" s="234"/>
      <c r="B210" s="234"/>
      <c r="C210" s="234"/>
      <c r="D210" s="234"/>
      <c r="E210" s="234"/>
      <c r="F210" s="234"/>
      <c r="G210" s="234"/>
      <c r="H210" s="234"/>
      <c r="I210" s="234"/>
      <c r="J210" s="234"/>
      <c r="K210" s="234"/>
      <c r="L210" s="234"/>
      <c r="M210" s="234"/>
      <c r="N210" s="234"/>
      <c r="O210" s="234"/>
      <c r="P210" s="234"/>
      <c r="Q210" s="234"/>
      <c r="R210" s="234"/>
      <c r="S210" s="234"/>
      <c r="T210" s="234"/>
    </row>
    <row r="211" spans="1:26" x14ac:dyDescent="0.2">
      <c r="A211" s="235" t="s">
        <v>48</v>
      </c>
      <c r="B211" s="236"/>
      <c r="C211" s="236"/>
      <c r="D211" s="236"/>
      <c r="E211" s="236"/>
      <c r="F211" s="236"/>
      <c r="G211" s="236"/>
      <c r="H211" s="236"/>
      <c r="I211" s="236"/>
      <c r="J211" s="236"/>
      <c r="K211" s="236"/>
      <c r="L211" s="236"/>
      <c r="M211" s="236"/>
      <c r="N211" s="236"/>
      <c r="O211" s="236"/>
      <c r="P211" s="236"/>
      <c r="Q211" s="236"/>
      <c r="R211" s="236"/>
      <c r="S211" s="236"/>
      <c r="T211" s="237"/>
    </row>
    <row r="212" spans="1:26" x14ac:dyDescent="0.2">
      <c r="A212" s="238"/>
      <c r="B212" s="239"/>
      <c r="C212" s="239"/>
      <c r="D212" s="239"/>
      <c r="E212" s="239"/>
      <c r="F212" s="239"/>
      <c r="G212" s="239"/>
      <c r="H212" s="239"/>
      <c r="I212" s="239"/>
      <c r="J212" s="239"/>
      <c r="K212" s="239"/>
      <c r="L212" s="239"/>
      <c r="M212" s="239"/>
      <c r="N212" s="239"/>
      <c r="O212" s="239"/>
      <c r="P212" s="239"/>
      <c r="Q212" s="239"/>
      <c r="R212" s="239"/>
      <c r="S212" s="239"/>
      <c r="T212" s="240"/>
    </row>
    <row r="213" spans="1:26" x14ac:dyDescent="0.2">
      <c r="A213" s="176" t="s">
        <v>24</v>
      </c>
      <c r="B213" s="176" t="s">
        <v>23</v>
      </c>
      <c r="C213" s="176"/>
      <c r="D213" s="176"/>
      <c r="E213" s="176"/>
      <c r="F213" s="176"/>
      <c r="G213" s="176"/>
      <c r="H213" s="176"/>
      <c r="I213" s="176"/>
      <c r="J213" s="177" t="s">
        <v>35</v>
      </c>
      <c r="K213" s="170" t="s">
        <v>21</v>
      </c>
      <c r="L213" s="171"/>
      <c r="M213" s="172"/>
      <c r="N213" s="170" t="s">
        <v>36</v>
      </c>
      <c r="O213" s="171"/>
      <c r="P213" s="172"/>
      <c r="Q213" s="170" t="s">
        <v>20</v>
      </c>
      <c r="R213" s="171"/>
      <c r="S213" s="172"/>
      <c r="T213" s="177" t="s">
        <v>19</v>
      </c>
    </row>
    <row r="214" spans="1:26" x14ac:dyDescent="0.2">
      <c r="A214" s="176"/>
      <c r="B214" s="176"/>
      <c r="C214" s="176"/>
      <c r="D214" s="176"/>
      <c r="E214" s="176"/>
      <c r="F214" s="176"/>
      <c r="G214" s="176"/>
      <c r="H214" s="176"/>
      <c r="I214" s="176"/>
      <c r="J214" s="177"/>
      <c r="K214" s="173"/>
      <c r="L214" s="174"/>
      <c r="M214" s="175"/>
      <c r="N214" s="173"/>
      <c r="O214" s="174"/>
      <c r="P214" s="175"/>
      <c r="Q214" s="173"/>
      <c r="R214" s="174"/>
      <c r="S214" s="175"/>
      <c r="T214" s="177"/>
    </row>
    <row r="215" spans="1:26" x14ac:dyDescent="0.2">
      <c r="A215" s="176"/>
      <c r="B215" s="176"/>
      <c r="C215" s="176"/>
      <c r="D215" s="176"/>
      <c r="E215" s="176"/>
      <c r="F215" s="176"/>
      <c r="G215" s="176"/>
      <c r="H215" s="176"/>
      <c r="I215" s="176"/>
      <c r="J215" s="177"/>
      <c r="K215" s="15" t="s">
        <v>25</v>
      </c>
      <c r="L215" s="15" t="s">
        <v>26</v>
      </c>
      <c r="M215" s="15" t="s">
        <v>27</v>
      </c>
      <c r="N215" s="15" t="s">
        <v>31</v>
      </c>
      <c r="O215" s="15" t="s">
        <v>5</v>
      </c>
      <c r="P215" s="15" t="s">
        <v>28</v>
      </c>
      <c r="Q215" s="15" t="s">
        <v>29</v>
      </c>
      <c r="R215" s="15" t="s">
        <v>25</v>
      </c>
      <c r="S215" s="15" t="s">
        <v>30</v>
      </c>
      <c r="T215" s="177"/>
    </row>
    <row r="216" spans="1:26" x14ac:dyDescent="0.2">
      <c r="A216" s="176" t="s">
        <v>150</v>
      </c>
      <c r="B216" s="176"/>
      <c r="C216" s="176"/>
      <c r="D216" s="176"/>
      <c r="E216" s="176"/>
      <c r="F216" s="176"/>
      <c r="G216" s="176"/>
      <c r="H216" s="176"/>
      <c r="I216" s="176"/>
      <c r="J216" s="176"/>
      <c r="K216" s="176"/>
      <c r="L216" s="176"/>
      <c r="M216" s="176"/>
      <c r="N216" s="176"/>
      <c r="O216" s="176"/>
      <c r="P216" s="176"/>
      <c r="Q216" s="176"/>
      <c r="R216" s="176"/>
      <c r="S216" s="176"/>
      <c r="T216" s="176"/>
    </row>
    <row r="217" spans="1:26" ht="19.7" customHeight="1" x14ac:dyDescent="0.25">
      <c r="A217" s="17" t="str">
        <f t="shared" ref="A217:A222" si="37">IF(ISNA(INDEX($A$117:$T$186,MATCH($B217,$B$117:$B$186,0),1)),"",INDEX($A$117:$T$186,MATCH($B217,$B$117:$B$186,0),1))</f>
        <v>UMR4101</v>
      </c>
      <c r="B217" s="145" t="s">
        <v>168</v>
      </c>
      <c r="C217" s="145"/>
      <c r="D217" s="145"/>
      <c r="E217" s="145"/>
      <c r="F217" s="145"/>
      <c r="G217" s="145"/>
      <c r="H217" s="145"/>
      <c r="I217" s="145"/>
      <c r="J217" s="8">
        <f t="shared" ref="J217:J222" si="38">IF(ISNA(INDEX($A$117:$T$186,MATCH($B217,$B$117:$B$186,0),10)),"",INDEX($A$117:$T$186,MATCH($B217,$B$117:$B$186,0),10))</f>
        <v>5</v>
      </c>
      <c r="K217" s="8">
        <f t="shared" ref="K217:K222" si="39">IF(ISNA(INDEX($A$117:$T$186,MATCH($B217,$B$117:$B$186,0),11)),"",INDEX($A$117:$T$186,MATCH($B217,$B$117:$B$186,0),11))</f>
        <v>2</v>
      </c>
      <c r="L217" s="8">
        <f t="shared" ref="L217:L222" si="40">IF(ISNA(INDEX($A$117:$T$186,MATCH($B217,$B$117:$B$186,0),12)),"",INDEX($A$117:$T$186,MATCH($B217,$B$117:$B$186,0),12))</f>
        <v>1</v>
      </c>
      <c r="M217" s="8">
        <f t="shared" ref="M217:M222" si="41">IF(ISNA(INDEX($A$117:$T$186,MATCH($B217,$B$117:$B$186,0),13)),"",INDEX($A$117:$T$186,MATCH($B217,$B$117:$B$186,0),13))</f>
        <v>0</v>
      </c>
      <c r="N217" s="8">
        <f t="shared" ref="N217:N222" si="42">IF(ISNA(INDEX($A$117:$T$186,MATCH($B217,$B$117:$B$186,0),14)),"",INDEX($A$117:$T$186,MATCH($B217,$B$117:$B$186,0),14))</f>
        <v>3</v>
      </c>
      <c r="O217" s="8">
        <f t="shared" ref="O217:O222" si="43">IF(ISNA(INDEX($A$117:$T$186,MATCH($B217,$B$117:$B$186,0),15)),"",INDEX($A$117:$T$186,MATCH($B217,$B$117:$B$186,0),15))</f>
        <v>6</v>
      </c>
      <c r="P217" s="8">
        <f t="shared" ref="P217:P222" si="44">IF(ISNA(INDEX($A$117:$T$186,MATCH($B217,$B$117:$B$186,0),16)),"",INDEX($A$117:$T$186,MATCH($B217,$B$117:$B$186,0),16))</f>
        <v>9</v>
      </c>
      <c r="Q217" s="14" t="str">
        <f t="shared" ref="Q217:Q222" si="45">IF(ISNA(INDEX($A$117:$T$186,MATCH($B217,$B$117:$B$186,0),17)),"",INDEX($A$117:$T$186,MATCH($B217,$B$117:$B$186,0),17))</f>
        <v>E</v>
      </c>
      <c r="R217" s="14">
        <f t="shared" ref="R217:R222" si="46">IF(ISNA(INDEX($A$117:$T$186,MATCH($B217,$B$117:$B$186,0),18)),"",INDEX($A$117:$T$186,MATCH($B217,$B$117:$B$186,0),18))</f>
        <v>0</v>
      </c>
      <c r="S217" s="14">
        <f t="shared" ref="S217:S222" si="47">IF(ISNA(INDEX($A$117:$T$186,MATCH($B217,$B$117:$B$186,0),19)),"",INDEX($A$117:$T$186,MATCH($B217,$B$117:$B$186,0),19))</f>
        <v>0</v>
      </c>
      <c r="T217" s="14" t="str">
        <f t="shared" ref="T217:T222" si="48">IF(ISNA(INDEX($A$117:$T$186,MATCH($B217,$B$117:$B$186,0),20)),"",INDEX($A$117:$T$186,MATCH($B217,$B$117:$B$186,0),20))</f>
        <v>DF</v>
      </c>
      <c r="U217" s="23"/>
      <c r="V217" s="24"/>
      <c r="W217" s="24"/>
      <c r="X217" s="24"/>
      <c r="Y217" s="24"/>
      <c r="Z217" s="24"/>
    </row>
    <row r="218" spans="1:26" ht="42.6" customHeight="1" x14ac:dyDescent="0.25">
      <c r="A218" s="17" t="str">
        <f t="shared" si="37"/>
        <v>UMR5105</v>
      </c>
      <c r="B218" s="145" t="s">
        <v>177</v>
      </c>
      <c r="C218" s="145"/>
      <c r="D218" s="145"/>
      <c r="E218" s="145"/>
      <c r="F218" s="145"/>
      <c r="G218" s="145"/>
      <c r="H218" s="145"/>
      <c r="I218" s="145"/>
      <c r="J218" s="8">
        <f t="shared" si="38"/>
        <v>5</v>
      </c>
      <c r="K218" s="8">
        <f t="shared" si="39"/>
        <v>2</v>
      </c>
      <c r="L218" s="8">
        <f t="shared" si="40"/>
        <v>1</v>
      </c>
      <c r="M218" s="8">
        <f t="shared" si="41"/>
        <v>0</v>
      </c>
      <c r="N218" s="8">
        <f t="shared" si="42"/>
        <v>3</v>
      </c>
      <c r="O218" s="8">
        <f t="shared" si="43"/>
        <v>6</v>
      </c>
      <c r="P218" s="8">
        <f t="shared" si="44"/>
        <v>9</v>
      </c>
      <c r="Q218" s="14" t="str">
        <f t="shared" si="45"/>
        <v>E</v>
      </c>
      <c r="R218" s="14">
        <f t="shared" si="46"/>
        <v>0</v>
      </c>
      <c r="S218" s="14">
        <f t="shared" si="47"/>
        <v>0</v>
      </c>
      <c r="T218" s="14" t="str">
        <f t="shared" si="48"/>
        <v>DF</v>
      </c>
      <c r="U218" s="24"/>
      <c r="V218" s="24"/>
      <c r="W218" s="24"/>
      <c r="X218" s="24"/>
      <c r="Y218" s="24"/>
      <c r="Z218" s="24"/>
    </row>
    <row r="219" spans="1:26" ht="28.35" customHeight="1" x14ac:dyDescent="0.25">
      <c r="A219" s="17" t="str">
        <f t="shared" si="37"/>
        <v>UMR4206</v>
      </c>
      <c r="B219" s="145" t="s">
        <v>179</v>
      </c>
      <c r="C219" s="145"/>
      <c r="D219" s="145"/>
      <c r="E219" s="145"/>
      <c r="F219" s="145"/>
      <c r="G219" s="145"/>
      <c r="H219" s="145"/>
      <c r="I219" s="145"/>
      <c r="J219" s="8">
        <f t="shared" si="38"/>
        <v>7</v>
      </c>
      <c r="K219" s="8">
        <f t="shared" si="39"/>
        <v>2</v>
      </c>
      <c r="L219" s="8">
        <f t="shared" si="40"/>
        <v>1</v>
      </c>
      <c r="M219" s="8">
        <f t="shared" si="41"/>
        <v>0</v>
      </c>
      <c r="N219" s="8">
        <f t="shared" si="42"/>
        <v>3</v>
      </c>
      <c r="O219" s="8">
        <f t="shared" si="43"/>
        <v>10</v>
      </c>
      <c r="P219" s="8">
        <f t="shared" si="44"/>
        <v>13</v>
      </c>
      <c r="Q219" s="14" t="str">
        <f t="shared" si="45"/>
        <v>E</v>
      </c>
      <c r="R219" s="14">
        <f t="shared" si="46"/>
        <v>0</v>
      </c>
      <c r="S219" s="14">
        <f t="shared" si="47"/>
        <v>0</v>
      </c>
      <c r="T219" s="14" t="str">
        <f t="shared" si="48"/>
        <v>DF</v>
      </c>
      <c r="U219" s="24"/>
      <c r="V219" s="24"/>
      <c r="W219" s="24"/>
      <c r="X219" s="24"/>
      <c r="Y219" s="24"/>
      <c r="Z219" s="24"/>
    </row>
    <row r="220" spans="1:26" ht="28.35" customHeight="1" x14ac:dyDescent="0.25">
      <c r="A220" s="17" t="str">
        <f t="shared" si="37"/>
        <v>UMR5105</v>
      </c>
      <c r="B220" s="145" t="s">
        <v>176</v>
      </c>
      <c r="C220" s="145"/>
      <c r="D220" s="145"/>
      <c r="E220" s="145"/>
      <c r="F220" s="145"/>
      <c r="G220" s="145"/>
      <c r="H220" s="145"/>
      <c r="I220" s="145"/>
      <c r="J220" s="8">
        <f t="shared" si="38"/>
        <v>5</v>
      </c>
      <c r="K220" s="8">
        <f t="shared" si="39"/>
        <v>2</v>
      </c>
      <c r="L220" s="8">
        <f t="shared" si="40"/>
        <v>1</v>
      </c>
      <c r="M220" s="8">
        <f t="shared" si="41"/>
        <v>0</v>
      </c>
      <c r="N220" s="8">
        <f t="shared" si="42"/>
        <v>3</v>
      </c>
      <c r="O220" s="8">
        <f t="shared" si="43"/>
        <v>6</v>
      </c>
      <c r="P220" s="8">
        <f t="shared" si="44"/>
        <v>9</v>
      </c>
      <c r="Q220" s="14" t="str">
        <f t="shared" si="45"/>
        <v>E</v>
      </c>
      <c r="R220" s="14">
        <f t="shared" si="46"/>
        <v>0</v>
      </c>
      <c r="S220" s="14">
        <f t="shared" si="47"/>
        <v>0</v>
      </c>
      <c r="T220" s="14" t="str">
        <f t="shared" si="48"/>
        <v>DF</v>
      </c>
      <c r="U220" s="24"/>
      <c r="V220" s="24"/>
      <c r="W220" s="24"/>
      <c r="X220" s="24"/>
      <c r="Y220" s="24"/>
      <c r="Z220" s="24"/>
    </row>
    <row r="221" spans="1:26" ht="19.7" customHeight="1" x14ac:dyDescent="0.25">
      <c r="A221" s="17" t="str">
        <f t="shared" si="37"/>
        <v>UMR5103</v>
      </c>
      <c r="B221" s="145" t="s">
        <v>181</v>
      </c>
      <c r="C221" s="145"/>
      <c r="D221" s="145"/>
      <c r="E221" s="145"/>
      <c r="F221" s="145"/>
      <c r="G221" s="145"/>
      <c r="H221" s="145"/>
      <c r="I221" s="145"/>
      <c r="J221" s="8">
        <f t="shared" si="38"/>
        <v>7</v>
      </c>
      <c r="K221" s="8">
        <f t="shared" si="39"/>
        <v>2</v>
      </c>
      <c r="L221" s="8">
        <f t="shared" si="40"/>
        <v>1</v>
      </c>
      <c r="M221" s="8">
        <f t="shared" si="41"/>
        <v>0</v>
      </c>
      <c r="N221" s="8">
        <f t="shared" si="42"/>
        <v>3</v>
      </c>
      <c r="O221" s="8">
        <f t="shared" si="43"/>
        <v>10</v>
      </c>
      <c r="P221" s="8">
        <f t="shared" si="44"/>
        <v>13</v>
      </c>
      <c r="Q221" s="14">
        <f t="shared" si="45"/>
        <v>0</v>
      </c>
      <c r="R221" s="14" t="str">
        <f t="shared" si="46"/>
        <v>C</v>
      </c>
      <c r="S221" s="14">
        <f t="shared" si="47"/>
        <v>0</v>
      </c>
      <c r="T221" s="14" t="str">
        <f t="shared" si="48"/>
        <v>DF</v>
      </c>
      <c r="U221" s="24"/>
      <c r="V221" s="24"/>
      <c r="W221" s="24"/>
      <c r="X221" s="24"/>
      <c r="Y221" s="24"/>
      <c r="Z221" s="24"/>
    </row>
    <row r="222" spans="1:26" ht="19.7" customHeight="1" x14ac:dyDescent="0.25">
      <c r="A222" s="17" t="str">
        <f t="shared" si="37"/>
        <v>UMR4312</v>
      </c>
      <c r="B222" s="145" t="s">
        <v>193</v>
      </c>
      <c r="C222" s="145"/>
      <c r="D222" s="145"/>
      <c r="E222" s="145"/>
      <c r="F222" s="145"/>
      <c r="G222" s="145"/>
      <c r="H222" s="145"/>
      <c r="I222" s="145"/>
      <c r="J222" s="8">
        <f t="shared" si="38"/>
        <v>6</v>
      </c>
      <c r="K222" s="8">
        <f t="shared" si="39"/>
        <v>2</v>
      </c>
      <c r="L222" s="8">
        <f t="shared" si="40"/>
        <v>1</v>
      </c>
      <c r="M222" s="8">
        <f t="shared" si="41"/>
        <v>0</v>
      </c>
      <c r="N222" s="8">
        <f t="shared" si="42"/>
        <v>3</v>
      </c>
      <c r="O222" s="8">
        <f t="shared" si="43"/>
        <v>8</v>
      </c>
      <c r="P222" s="8">
        <f t="shared" si="44"/>
        <v>11</v>
      </c>
      <c r="Q222" s="14" t="str">
        <f t="shared" si="45"/>
        <v>E</v>
      </c>
      <c r="R222" s="14">
        <f t="shared" si="46"/>
        <v>0</v>
      </c>
      <c r="S222" s="14">
        <f t="shared" si="47"/>
        <v>0</v>
      </c>
      <c r="T222" s="14" t="str">
        <f t="shared" si="48"/>
        <v>DF</v>
      </c>
      <c r="U222" s="24"/>
      <c r="V222" s="24"/>
      <c r="W222" s="24"/>
      <c r="X222" s="24"/>
      <c r="Y222" s="24"/>
      <c r="Z222" s="24"/>
    </row>
    <row r="223" spans="1:26" ht="12.75" customHeight="1" x14ac:dyDescent="0.2">
      <c r="A223" s="78" t="s">
        <v>22</v>
      </c>
      <c r="B223" s="336"/>
      <c r="C223" s="336"/>
      <c r="D223" s="336"/>
      <c r="E223" s="336"/>
      <c r="F223" s="336"/>
      <c r="G223" s="336"/>
      <c r="H223" s="336"/>
      <c r="I223" s="336"/>
      <c r="J223" s="67">
        <f>SUM(J217:J222)</f>
        <v>35</v>
      </c>
      <c r="K223" s="67">
        <f>SUM(K217:K222)</f>
        <v>12</v>
      </c>
      <c r="L223" s="67">
        <f t="shared" ref="L223:P223" si="49">SUM(L217:L222)</f>
        <v>6</v>
      </c>
      <c r="M223" s="67">
        <f t="shared" si="49"/>
        <v>0</v>
      </c>
      <c r="N223" s="67">
        <f t="shared" si="49"/>
        <v>18</v>
      </c>
      <c r="O223" s="67">
        <f t="shared" si="49"/>
        <v>46</v>
      </c>
      <c r="P223" s="67">
        <f t="shared" si="49"/>
        <v>64</v>
      </c>
      <c r="Q223" s="78">
        <f>COUNTIF(Q217:Q222,"E")</f>
        <v>5</v>
      </c>
      <c r="R223" s="78">
        <f>COUNTIF(R217:R222,"C")</f>
        <v>1</v>
      </c>
      <c r="S223" s="78">
        <f>COUNTIF(S217:S222,"VP")</f>
        <v>0</v>
      </c>
      <c r="T223" s="79">
        <f>COUNTA(T217:T222)</f>
        <v>6</v>
      </c>
      <c r="U223" s="25"/>
      <c r="V223" s="25"/>
      <c r="W223" s="25"/>
      <c r="X223" s="25"/>
      <c r="Y223" s="25"/>
      <c r="Z223" s="25"/>
    </row>
    <row r="224" spans="1:26" ht="12.75" customHeight="1" x14ac:dyDescent="0.2">
      <c r="A224" s="337" t="s">
        <v>149</v>
      </c>
      <c r="B224" s="337"/>
      <c r="C224" s="337"/>
      <c r="D224" s="337"/>
      <c r="E224" s="337"/>
      <c r="F224" s="337"/>
      <c r="G224" s="337"/>
      <c r="H224" s="337"/>
      <c r="I224" s="337"/>
      <c r="J224" s="337"/>
      <c r="K224" s="337"/>
      <c r="L224" s="337"/>
      <c r="M224" s="337"/>
      <c r="N224" s="337"/>
      <c r="O224" s="337"/>
      <c r="P224" s="337"/>
      <c r="Q224" s="337"/>
      <c r="R224" s="337"/>
      <c r="S224" s="337"/>
      <c r="T224" s="337"/>
      <c r="U224" s="338" t="s">
        <v>250</v>
      </c>
      <c r="V224" s="339"/>
      <c r="W224" s="339"/>
      <c r="X224" s="25"/>
      <c r="Y224" s="25"/>
      <c r="Z224" s="25"/>
    </row>
    <row r="225" spans="1:26" ht="28.35" customHeight="1" x14ac:dyDescent="0.25">
      <c r="A225" s="74" t="str">
        <f>IF(ISNA(INDEX($A$117:$T$186,MATCH($B225,$B$117:$B$186,0),1)),"",INDEX($A$117:$T$186,MATCH($B225,$B$117:$B$186,0),1))</f>
        <v>UMR4416</v>
      </c>
      <c r="B225" s="146" t="s">
        <v>203</v>
      </c>
      <c r="C225" s="146"/>
      <c r="D225" s="146"/>
      <c r="E225" s="146"/>
      <c r="F225" s="146"/>
      <c r="G225" s="146"/>
      <c r="H225" s="146"/>
      <c r="I225" s="146"/>
      <c r="J225" s="75">
        <f>IF(ISNA(INDEX($A$117:$T$186,MATCH($B225,$B$117:$B$186,0),10)),"",INDEX($A$117:$T$186,MATCH($B225,$B$117:$B$186,0),10))</f>
        <v>8</v>
      </c>
      <c r="K225" s="75">
        <f>IF(ISNA(INDEX($A$117:$T$186,MATCH($B225,$B$117:$B$186,0),11)),"",INDEX($A$117:$T$186,MATCH($B225,$B$117:$B$186,0),11))</f>
        <v>2</v>
      </c>
      <c r="L225" s="75">
        <f>IF(ISNA(INDEX($A$117:$T$186,MATCH($B225,$B$117:$B$186,0),12)),"",INDEX($A$117:$T$186,MATCH($B225,$B$117:$B$186,0),12))</f>
        <v>1</v>
      </c>
      <c r="M225" s="75">
        <f>IF(ISNA(INDEX($A$117:$T$186,MATCH($B225,$B$117:$B$186,0),13)),"",INDEX($A$117:$T$186,MATCH($B225,$B$117:$B$186,0),13))</f>
        <v>0</v>
      </c>
      <c r="N225" s="75">
        <f>IF(ISNA(INDEX($A$117:$T$186,MATCH($B225,$B$117:$B$186,0),14)),"",INDEX($A$117:$T$186,MATCH($B225,$B$117:$B$186,0),14))</f>
        <v>3</v>
      </c>
      <c r="O225" s="75">
        <f>IF(ISNA(INDEX($A$117:$T$186,MATCH($B225,$B$117:$B$186,0),15)),"",INDEX($A$117:$T$186,MATCH($B225,$B$117:$B$186,0),15))</f>
        <v>14</v>
      </c>
      <c r="P225" s="75">
        <f>IF(ISNA(INDEX($A$117:$T$186,MATCH($B225,$B$117:$B$186,0),16)),"",INDEX($A$117:$T$186,MATCH($B225,$B$117:$B$186,0),16))</f>
        <v>17</v>
      </c>
      <c r="Q225" s="76" t="str">
        <f>IF(ISNA(INDEX($A$117:$T$186,MATCH($B225,$B$117:$B$186,0),17)),"",INDEX($A$117:$T$186,MATCH($B225,$B$117:$B$186,0),17))</f>
        <v>E</v>
      </c>
      <c r="R225" s="76">
        <f>IF(ISNA(INDEX($A$117:$T$186,MATCH($B225,$B$117:$B$186,0),18)),"",INDEX($A$117:$T$186,MATCH($B225,$B$117:$B$186,0),18))</f>
        <v>0</v>
      </c>
      <c r="S225" s="76">
        <f>IF(ISNA(INDEX($A$117:$T$186,MATCH($B225,$B$117:$B$186,0),19)),"",INDEX($A$117:$T$186,MATCH($B225,$B$117:$B$186,0),19))</f>
        <v>0</v>
      </c>
      <c r="T225" s="76" t="str">
        <f>IF(ISNA(INDEX($A$117:$T$186,MATCH($B225,$B$117:$B$186,0),20)),"",INDEX($A$117:$T$186,MATCH($B225,$B$117:$B$186,0),20))</f>
        <v>DF</v>
      </c>
      <c r="U225" s="338"/>
      <c r="V225" s="339"/>
      <c r="W225" s="339"/>
      <c r="X225" s="24"/>
      <c r="Y225" s="24"/>
      <c r="Z225" s="24"/>
    </row>
    <row r="226" spans="1:26" ht="12.75" customHeight="1" x14ac:dyDescent="0.2">
      <c r="A226" s="78" t="s">
        <v>22</v>
      </c>
      <c r="B226" s="336"/>
      <c r="C226" s="336"/>
      <c r="D226" s="336"/>
      <c r="E226" s="336"/>
      <c r="F226" s="336"/>
      <c r="G226" s="336"/>
      <c r="H226" s="336"/>
      <c r="I226" s="336"/>
      <c r="J226" s="67">
        <f t="shared" ref="J226:P226" si="50">SUM(J225)</f>
        <v>8</v>
      </c>
      <c r="K226" s="67">
        <f t="shared" si="50"/>
        <v>2</v>
      </c>
      <c r="L226" s="67">
        <f t="shared" si="50"/>
        <v>1</v>
      </c>
      <c r="M226" s="67">
        <f t="shared" si="50"/>
        <v>0</v>
      </c>
      <c r="N226" s="67">
        <f t="shared" si="50"/>
        <v>3</v>
      </c>
      <c r="O226" s="67">
        <f t="shared" si="50"/>
        <v>14</v>
      </c>
      <c r="P226" s="67">
        <f t="shared" si="50"/>
        <v>17</v>
      </c>
      <c r="Q226" s="78">
        <f>COUNTIF(Q225,"E")</f>
        <v>1</v>
      </c>
      <c r="R226" s="78">
        <f>COUNTIF(R225,"C")</f>
        <v>0</v>
      </c>
      <c r="S226" s="78">
        <f>COUNTIF(S225,"VP")</f>
        <v>0</v>
      </c>
      <c r="T226" s="78">
        <f>COUNTA(T225)</f>
        <v>1</v>
      </c>
      <c r="U226" s="25"/>
      <c r="V226" s="25"/>
      <c r="W226" s="25"/>
      <c r="X226" s="25"/>
      <c r="Y226" s="25"/>
      <c r="Z226" s="25"/>
    </row>
    <row r="227" spans="1:26" ht="15" customHeight="1" x14ac:dyDescent="0.25">
      <c r="A227" s="154" t="s">
        <v>76</v>
      </c>
      <c r="B227" s="155"/>
      <c r="C227" s="155"/>
      <c r="D227" s="155"/>
      <c r="E227" s="155"/>
      <c r="F227" s="155"/>
      <c r="G227" s="155"/>
      <c r="H227" s="155"/>
      <c r="I227" s="156"/>
      <c r="J227" s="10">
        <f>SUM(J223,J226)</f>
        <v>43</v>
      </c>
      <c r="K227" s="10">
        <f t="shared" ref="K227:T227" si="51">SUM(K223,K226)</f>
        <v>14</v>
      </c>
      <c r="L227" s="10">
        <f t="shared" si="51"/>
        <v>7</v>
      </c>
      <c r="M227" s="10">
        <f t="shared" si="51"/>
        <v>0</v>
      </c>
      <c r="N227" s="10">
        <f t="shared" si="51"/>
        <v>21</v>
      </c>
      <c r="O227" s="10">
        <f t="shared" si="51"/>
        <v>60</v>
      </c>
      <c r="P227" s="10">
        <f t="shared" si="51"/>
        <v>81</v>
      </c>
      <c r="Q227" s="10">
        <f t="shared" si="51"/>
        <v>6</v>
      </c>
      <c r="R227" s="10">
        <f t="shared" si="51"/>
        <v>1</v>
      </c>
      <c r="S227" s="10">
        <f t="shared" si="51"/>
        <v>0</v>
      </c>
      <c r="T227" s="10">
        <f t="shared" si="51"/>
        <v>7</v>
      </c>
      <c r="U227" s="24"/>
      <c r="V227" s="24"/>
      <c r="W227" s="24"/>
      <c r="X227" s="24"/>
      <c r="Y227" s="24"/>
      <c r="Z227" s="24"/>
    </row>
    <row r="228" spans="1:26" ht="15" x14ac:dyDescent="0.25">
      <c r="A228" s="169" t="s">
        <v>43</v>
      </c>
      <c r="B228" s="169"/>
      <c r="C228" s="169"/>
      <c r="D228" s="169"/>
      <c r="E228" s="169"/>
      <c r="F228" s="169"/>
      <c r="G228" s="169"/>
      <c r="H228" s="169"/>
      <c r="I228" s="169"/>
      <c r="J228" s="169"/>
      <c r="K228" s="10">
        <f t="shared" ref="K228:P228" si="52">K223*14+K226*12</f>
        <v>192</v>
      </c>
      <c r="L228" s="10">
        <f t="shared" si="52"/>
        <v>96</v>
      </c>
      <c r="M228" s="10">
        <f t="shared" si="52"/>
        <v>0</v>
      </c>
      <c r="N228" s="10">
        <f t="shared" si="52"/>
        <v>288</v>
      </c>
      <c r="O228" s="10">
        <f t="shared" si="52"/>
        <v>812</v>
      </c>
      <c r="P228" s="10">
        <f t="shared" si="52"/>
        <v>1100</v>
      </c>
      <c r="Q228" s="178"/>
      <c r="R228" s="178"/>
      <c r="S228" s="178"/>
      <c r="T228" s="178"/>
      <c r="U228" s="24"/>
      <c r="V228" s="24"/>
      <c r="W228" s="24"/>
      <c r="X228" s="24"/>
      <c r="Y228" s="24"/>
      <c r="Z228" s="24"/>
    </row>
    <row r="229" spans="1:26" ht="15" x14ac:dyDescent="0.25">
      <c r="A229" s="169"/>
      <c r="B229" s="169"/>
      <c r="C229" s="169"/>
      <c r="D229" s="169"/>
      <c r="E229" s="169"/>
      <c r="F229" s="169"/>
      <c r="G229" s="169"/>
      <c r="H229" s="169"/>
      <c r="I229" s="169"/>
      <c r="J229" s="169"/>
      <c r="K229" s="179">
        <f>SUM(K228:M228)</f>
        <v>288</v>
      </c>
      <c r="L229" s="179"/>
      <c r="M229" s="179"/>
      <c r="N229" s="179">
        <f>SUM(N228:O228)</f>
        <v>1100</v>
      </c>
      <c r="O229" s="179"/>
      <c r="P229" s="179"/>
      <c r="Q229" s="178"/>
      <c r="R229" s="178"/>
      <c r="S229" s="178"/>
      <c r="T229" s="178"/>
      <c r="U229" s="24"/>
      <c r="V229" s="24"/>
      <c r="W229" s="24"/>
      <c r="X229" s="24"/>
      <c r="Y229" s="24"/>
      <c r="Z229" s="24"/>
    </row>
    <row r="230" spans="1:26" ht="15" customHeight="1" x14ac:dyDescent="0.25">
      <c r="A230" s="199" t="s">
        <v>62</v>
      </c>
      <c r="B230" s="208"/>
      <c r="C230" s="208"/>
      <c r="D230" s="208"/>
      <c r="E230" s="208"/>
      <c r="F230" s="208"/>
      <c r="G230" s="208"/>
      <c r="H230" s="208"/>
      <c r="I230" s="208"/>
      <c r="J230" s="200"/>
      <c r="K230" s="300">
        <f>T227/SUM(T128,T141,T153,T165)</f>
        <v>0.31818181818181818</v>
      </c>
      <c r="L230" s="300"/>
      <c r="M230" s="300"/>
      <c r="N230" s="300"/>
      <c r="O230" s="300"/>
      <c r="P230" s="300"/>
      <c r="Q230" s="300"/>
      <c r="R230" s="300"/>
      <c r="S230" s="300"/>
      <c r="T230" s="300"/>
      <c r="U230" s="24"/>
      <c r="V230" s="24"/>
      <c r="W230" s="24"/>
      <c r="X230" s="24"/>
      <c r="Y230" s="24"/>
      <c r="Z230" s="24"/>
    </row>
    <row r="231" spans="1:26" ht="15" x14ac:dyDescent="0.25">
      <c r="A231" s="212" t="s">
        <v>63</v>
      </c>
      <c r="B231" s="212"/>
      <c r="C231" s="212"/>
      <c r="D231" s="212"/>
      <c r="E231" s="212"/>
      <c r="F231" s="212"/>
      <c r="G231" s="212"/>
      <c r="H231" s="212"/>
      <c r="I231" s="212"/>
      <c r="J231" s="212"/>
      <c r="K231" s="183">
        <f>K229/(SUM(N128,N141,N153)*14+N165*12)</f>
        <v>0.31578947368421051</v>
      </c>
      <c r="L231" s="183"/>
      <c r="M231" s="183"/>
      <c r="N231" s="183"/>
      <c r="O231" s="183"/>
      <c r="P231" s="183"/>
      <c r="Q231" s="183"/>
      <c r="R231" s="183"/>
      <c r="S231" s="183"/>
      <c r="T231" s="183"/>
      <c r="U231" s="24"/>
      <c r="V231" s="24"/>
      <c r="W231" s="24"/>
      <c r="X231" s="24"/>
      <c r="Y231" s="24"/>
      <c r="Z231" s="24"/>
    </row>
    <row r="233" spans="1:26" ht="12.75" customHeight="1" x14ac:dyDescent="0.25">
      <c r="A233" s="104" t="s">
        <v>100</v>
      </c>
      <c r="B233" s="105"/>
      <c r="C233" s="105"/>
      <c r="D233" s="105"/>
      <c r="E233" s="105"/>
      <c r="F233" s="105"/>
      <c r="G233" s="105"/>
      <c r="H233" s="105"/>
      <c r="I233" s="105"/>
      <c r="J233" s="105"/>
      <c r="K233" s="105"/>
      <c r="L233" s="105"/>
      <c r="M233" s="105"/>
      <c r="N233" s="105"/>
      <c r="O233" s="105"/>
      <c r="P233" s="105"/>
      <c r="Q233" s="105"/>
      <c r="R233" s="105"/>
      <c r="S233" s="105"/>
      <c r="T233" s="106"/>
      <c r="V233"/>
    </row>
    <row r="234" spans="1:26" ht="12.75" customHeight="1" x14ac:dyDescent="0.25">
      <c r="A234" s="107"/>
      <c r="B234" s="108"/>
      <c r="C234" s="108"/>
      <c r="D234" s="108"/>
      <c r="E234" s="108"/>
      <c r="F234" s="108"/>
      <c r="G234" s="108"/>
      <c r="H234" s="108"/>
      <c r="I234" s="108"/>
      <c r="J234" s="108"/>
      <c r="K234" s="108"/>
      <c r="L234" s="108"/>
      <c r="M234" s="108"/>
      <c r="N234" s="108"/>
      <c r="O234" s="108"/>
      <c r="P234" s="108"/>
      <c r="Q234" s="108"/>
      <c r="R234" s="108"/>
      <c r="S234" s="108"/>
      <c r="T234" s="109"/>
      <c r="V234"/>
    </row>
    <row r="235" spans="1:26" ht="12.75" customHeight="1" x14ac:dyDescent="0.25">
      <c r="A235" s="176" t="s">
        <v>24</v>
      </c>
      <c r="B235" s="176" t="s">
        <v>23</v>
      </c>
      <c r="C235" s="176"/>
      <c r="D235" s="176"/>
      <c r="E235" s="176"/>
      <c r="F235" s="176"/>
      <c r="G235" s="176"/>
      <c r="H235" s="176"/>
      <c r="I235" s="176"/>
      <c r="J235" s="177" t="s">
        <v>35</v>
      </c>
      <c r="K235" s="170" t="s">
        <v>21</v>
      </c>
      <c r="L235" s="171"/>
      <c r="M235" s="172"/>
      <c r="N235" s="170" t="s">
        <v>36</v>
      </c>
      <c r="O235" s="171"/>
      <c r="P235" s="172"/>
      <c r="Q235" s="170" t="s">
        <v>20</v>
      </c>
      <c r="R235" s="171"/>
      <c r="S235" s="172"/>
      <c r="T235" s="177" t="s">
        <v>19</v>
      </c>
      <c r="U235"/>
      <c r="V235"/>
      <c r="W235" s="25"/>
      <c r="X235" s="25"/>
      <c r="Y235" s="25"/>
      <c r="Z235" s="25"/>
    </row>
    <row r="236" spans="1:26" ht="12.75" customHeight="1" x14ac:dyDescent="0.25">
      <c r="A236" s="176"/>
      <c r="B236" s="176"/>
      <c r="C236" s="176"/>
      <c r="D236" s="176"/>
      <c r="E236" s="176"/>
      <c r="F236" s="176"/>
      <c r="G236" s="176"/>
      <c r="H236" s="176"/>
      <c r="I236" s="176"/>
      <c r="J236" s="177"/>
      <c r="K236" s="173"/>
      <c r="L236" s="174"/>
      <c r="M236" s="175"/>
      <c r="N236" s="173"/>
      <c r="O236" s="174"/>
      <c r="P236" s="175"/>
      <c r="Q236" s="173"/>
      <c r="R236" s="174"/>
      <c r="S236" s="175"/>
      <c r="T236" s="177"/>
      <c r="U236"/>
      <c r="V236"/>
      <c r="W236" s="25"/>
      <c r="X236" s="25"/>
      <c r="Y236" s="25"/>
      <c r="Z236" s="25"/>
    </row>
    <row r="237" spans="1:26" ht="12.75" customHeight="1" x14ac:dyDescent="0.2">
      <c r="A237" s="176"/>
      <c r="B237" s="176"/>
      <c r="C237" s="176"/>
      <c r="D237" s="176"/>
      <c r="E237" s="176"/>
      <c r="F237" s="176"/>
      <c r="G237" s="176"/>
      <c r="H237" s="176"/>
      <c r="I237" s="176"/>
      <c r="J237" s="177"/>
      <c r="K237" s="15" t="s">
        <v>25</v>
      </c>
      <c r="L237" s="15" t="s">
        <v>26</v>
      </c>
      <c r="M237" s="15" t="s">
        <v>27</v>
      </c>
      <c r="N237" s="15" t="s">
        <v>31</v>
      </c>
      <c r="O237" s="15" t="s">
        <v>5</v>
      </c>
      <c r="P237" s="15" t="s">
        <v>28</v>
      </c>
      <c r="Q237" s="15" t="s">
        <v>29</v>
      </c>
      <c r="R237" s="15" t="s">
        <v>25</v>
      </c>
      <c r="S237" s="15" t="s">
        <v>30</v>
      </c>
      <c r="T237" s="177"/>
      <c r="U237" s="25"/>
      <c r="V237" s="25"/>
      <c r="W237" s="25"/>
      <c r="X237" s="25"/>
      <c r="Y237" s="25"/>
      <c r="Z237" s="25"/>
    </row>
    <row r="238" spans="1:26" ht="12.75" customHeight="1" x14ac:dyDescent="0.2">
      <c r="A238" s="176" t="s">
        <v>150</v>
      </c>
      <c r="B238" s="176"/>
      <c r="C238" s="176"/>
      <c r="D238" s="176"/>
      <c r="E238" s="176"/>
      <c r="F238" s="176"/>
      <c r="G238" s="176"/>
      <c r="H238" s="176"/>
      <c r="I238" s="176"/>
      <c r="J238" s="176"/>
      <c r="K238" s="176"/>
      <c r="L238" s="176"/>
      <c r="M238" s="176"/>
      <c r="N238" s="176"/>
      <c r="O238" s="176"/>
      <c r="P238" s="176"/>
      <c r="Q238" s="176"/>
      <c r="R238" s="176"/>
      <c r="S238" s="176"/>
      <c r="T238" s="176"/>
      <c r="U238" s="25"/>
      <c r="V238" s="25"/>
      <c r="W238" s="25"/>
      <c r="X238" s="25"/>
      <c r="Y238" s="25"/>
      <c r="Z238" s="25"/>
    </row>
    <row r="239" spans="1:26" ht="28.35" customHeight="1" x14ac:dyDescent="0.2">
      <c r="A239" s="17" t="str">
        <f t="shared" ref="A239:A248" si="53">IF(ISNA(INDEX($A$117:$T$186,MATCH($B239,$B$117:$B$186,0),1)),"",INDEX($A$117:$T$186,MATCH($B239,$B$117:$B$186,0),1))</f>
        <v>UMR4102</v>
      </c>
      <c r="B239" s="145" t="s">
        <v>170</v>
      </c>
      <c r="C239" s="145"/>
      <c r="D239" s="145"/>
      <c r="E239" s="145"/>
      <c r="F239" s="145"/>
      <c r="G239" s="145"/>
      <c r="H239" s="145"/>
      <c r="I239" s="145"/>
      <c r="J239" s="8">
        <f t="shared" ref="J239:J248" si="54">IF(ISNA(INDEX($A$117:$T$186,MATCH($B239,$B$117:$B$186,0),10)),"",INDEX($A$117:$T$186,MATCH($B239,$B$117:$B$186,0),10))</f>
        <v>5</v>
      </c>
      <c r="K239" s="8">
        <f t="shared" ref="K239:K248" si="55">IF(ISNA(INDEX($A$117:$T$186,MATCH($B239,$B$117:$B$186,0),11)),"",INDEX($A$117:$T$186,MATCH($B239,$B$117:$B$186,0),11))</f>
        <v>2</v>
      </c>
      <c r="L239" s="8">
        <f t="shared" ref="L239:L248" si="56">IF(ISNA(INDEX($A$117:$T$186,MATCH($B239,$B$117:$B$186,0),12)),"",INDEX($A$117:$T$186,MATCH($B239,$B$117:$B$186,0),12))</f>
        <v>1</v>
      </c>
      <c r="M239" s="8">
        <f t="shared" ref="M239:M248" si="57">IF(ISNA(INDEX($A$117:$T$186,MATCH($B239,$B$117:$B$186,0),13)),"",INDEX($A$117:$T$186,MATCH($B239,$B$117:$B$186,0),13))</f>
        <v>0</v>
      </c>
      <c r="N239" s="8">
        <f t="shared" ref="N239:N248" si="58">IF(ISNA(INDEX($A$117:$T$186,MATCH($B239,$B$117:$B$186,0),14)),"",INDEX($A$117:$T$186,MATCH($B239,$B$117:$B$186,0),14))</f>
        <v>3</v>
      </c>
      <c r="O239" s="8">
        <f t="shared" ref="O239:O248" si="59">IF(ISNA(INDEX($A$117:$T$186,MATCH($B239,$B$117:$B$186,0),15)),"",INDEX($A$117:$T$186,MATCH($B239,$B$117:$B$186,0),15))</f>
        <v>6</v>
      </c>
      <c r="P239" s="8">
        <f t="shared" ref="P239:P248" si="60">IF(ISNA(INDEX($A$117:$T$186,MATCH($B239,$B$117:$B$186,0),16)),"",INDEX($A$117:$T$186,MATCH($B239,$B$117:$B$186,0),16))</f>
        <v>9</v>
      </c>
      <c r="Q239" s="14" t="str">
        <f t="shared" ref="Q239:Q248" si="61">IF(ISNA(INDEX($A$117:$T$186,MATCH($B239,$B$117:$B$186,0),17)),"",INDEX($A$117:$T$186,MATCH($B239,$B$117:$B$186,0),17))</f>
        <v>E</v>
      </c>
      <c r="R239" s="14">
        <f t="shared" ref="R239:R248" si="62">IF(ISNA(INDEX($A$117:$T$186,MATCH($B239,$B$117:$B$186,0),18)),"",INDEX($A$117:$T$186,MATCH($B239,$B$117:$B$186,0),18))</f>
        <v>0</v>
      </c>
      <c r="S239" s="14">
        <f t="shared" ref="S239:S248" si="63">IF(ISNA(INDEX($A$117:$T$186,MATCH($B239,$B$117:$B$186,0),19)),"",INDEX($A$117:$T$186,MATCH($B239,$B$117:$B$186,0),19))</f>
        <v>0</v>
      </c>
      <c r="T239" s="14" t="str">
        <f t="shared" ref="T239:T248" si="64">IF(ISNA(INDEX($A$117:$T$186,MATCH($B239,$B$117:$B$186,0),20)),"",INDEX($A$117:$T$186,MATCH($B239,$B$117:$B$186,0),20))</f>
        <v>DS</v>
      </c>
      <c r="U239" s="25"/>
      <c r="V239" s="25"/>
      <c r="W239" s="25"/>
      <c r="X239" s="25"/>
      <c r="Y239" s="25"/>
      <c r="Z239" s="25"/>
    </row>
    <row r="240" spans="1:26" ht="28.35" customHeight="1" x14ac:dyDescent="0.2">
      <c r="A240" s="74" t="str">
        <f t="shared" si="53"/>
        <v>UMR5315</v>
      </c>
      <c r="B240" s="146" t="s">
        <v>172</v>
      </c>
      <c r="C240" s="146"/>
      <c r="D240" s="146"/>
      <c r="E240" s="146"/>
      <c r="F240" s="146"/>
      <c r="G240" s="146"/>
      <c r="H240" s="146"/>
      <c r="I240" s="146"/>
      <c r="J240" s="75">
        <f t="shared" si="54"/>
        <v>5</v>
      </c>
      <c r="K240" s="75">
        <f t="shared" si="55"/>
        <v>2</v>
      </c>
      <c r="L240" s="75">
        <f t="shared" si="56"/>
        <v>1</v>
      </c>
      <c r="M240" s="75">
        <f t="shared" si="57"/>
        <v>0</v>
      </c>
      <c r="N240" s="75">
        <f t="shared" si="58"/>
        <v>3</v>
      </c>
      <c r="O240" s="75">
        <f t="shared" si="59"/>
        <v>6</v>
      </c>
      <c r="P240" s="75">
        <f t="shared" si="60"/>
        <v>9</v>
      </c>
      <c r="Q240" s="76" t="str">
        <f t="shared" si="61"/>
        <v>E</v>
      </c>
      <c r="R240" s="76">
        <f t="shared" si="62"/>
        <v>0</v>
      </c>
      <c r="S240" s="76">
        <f t="shared" si="63"/>
        <v>0</v>
      </c>
      <c r="T240" s="76" t="str">
        <f t="shared" si="64"/>
        <v>DS</v>
      </c>
      <c r="U240" s="72" t="s">
        <v>248</v>
      </c>
      <c r="V240" s="72"/>
      <c r="W240" s="25"/>
      <c r="X240" s="25"/>
      <c r="Y240" s="25"/>
      <c r="Z240" s="25"/>
    </row>
    <row r="241" spans="1:26" ht="19.7" customHeight="1" x14ac:dyDescent="0.2">
      <c r="A241" s="17" t="str">
        <f t="shared" si="53"/>
        <v>UMR4104</v>
      </c>
      <c r="B241" s="145" t="s">
        <v>185</v>
      </c>
      <c r="C241" s="145"/>
      <c r="D241" s="145"/>
      <c r="E241" s="145"/>
      <c r="F241" s="145"/>
      <c r="G241" s="145"/>
      <c r="H241" s="145"/>
      <c r="I241" s="145"/>
      <c r="J241" s="8">
        <f t="shared" si="54"/>
        <v>5</v>
      </c>
      <c r="K241" s="8">
        <f t="shared" si="55"/>
        <v>2</v>
      </c>
      <c r="L241" s="8">
        <f t="shared" si="56"/>
        <v>1</v>
      </c>
      <c r="M241" s="8">
        <f t="shared" si="57"/>
        <v>0</v>
      </c>
      <c r="N241" s="8">
        <f t="shared" si="58"/>
        <v>3</v>
      </c>
      <c r="O241" s="8">
        <f t="shared" si="59"/>
        <v>6</v>
      </c>
      <c r="P241" s="8">
        <f t="shared" si="60"/>
        <v>9</v>
      </c>
      <c r="Q241" s="14" t="str">
        <f t="shared" si="61"/>
        <v>E</v>
      </c>
      <c r="R241" s="14">
        <f t="shared" si="62"/>
        <v>0</v>
      </c>
      <c r="S241" s="14">
        <f t="shared" si="63"/>
        <v>0</v>
      </c>
      <c r="T241" s="14" t="str">
        <f t="shared" si="64"/>
        <v>DS</v>
      </c>
      <c r="U241" s="72" t="s">
        <v>249</v>
      </c>
      <c r="V241" s="72"/>
      <c r="W241" s="72"/>
      <c r="X241" s="25"/>
      <c r="Y241" s="25"/>
      <c r="Z241" s="25"/>
    </row>
    <row r="242" spans="1:26" ht="19.7" customHeight="1" x14ac:dyDescent="0.2">
      <c r="A242" s="17" t="str">
        <f t="shared" si="53"/>
        <v>UMR4209</v>
      </c>
      <c r="B242" s="145" t="s">
        <v>174</v>
      </c>
      <c r="C242" s="145"/>
      <c r="D242" s="145"/>
      <c r="E242" s="145"/>
      <c r="F242" s="145"/>
      <c r="G242" s="145"/>
      <c r="H242" s="145"/>
      <c r="I242" s="145"/>
      <c r="J242" s="8">
        <f t="shared" si="54"/>
        <v>5</v>
      </c>
      <c r="K242" s="8">
        <f t="shared" si="55"/>
        <v>2</v>
      </c>
      <c r="L242" s="8">
        <f t="shared" si="56"/>
        <v>1</v>
      </c>
      <c r="M242" s="8">
        <f t="shared" si="57"/>
        <v>0</v>
      </c>
      <c r="N242" s="8">
        <f t="shared" si="58"/>
        <v>3</v>
      </c>
      <c r="O242" s="8">
        <f t="shared" si="59"/>
        <v>6</v>
      </c>
      <c r="P242" s="8">
        <f t="shared" si="60"/>
        <v>9</v>
      </c>
      <c r="Q242" s="14" t="str">
        <f t="shared" si="61"/>
        <v>E</v>
      </c>
      <c r="R242" s="14">
        <f t="shared" si="62"/>
        <v>0</v>
      </c>
      <c r="S242" s="14">
        <f t="shared" si="63"/>
        <v>0</v>
      </c>
      <c r="T242" s="14" t="str">
        <f t="shared" si="64"/>
        <v>DS</v>
      </c>
      <c r="U242" s="25"/>
      <c r="V242" s="25"/>
      <c r="W242" s="25"/>
      <c r="X242" s="25"/>
      <c r="Y242" s="25"/>
      <c r="Z242" s="25"/>
    </row>
    <row r="243" spans="1:26" ht="19.7" customHeight="1" x14ac:dyDescent="0.2">
      <c r="A243" s="17" t="str">
        <f t="shared" si="53"/>
        <v>UMR4210</v>
      </c>
      <c r="B243" s="145" t="s">
        <v>187</v>
      </c>
      <c r="C243" s="145"/>
      <c r="D243" s="145"/>
      <c r="E243" s="145"/>
      <c r="F243" s="145"/>
      <c r="G243" s="145"/>
      <c r="H243" s="145"/>
      <c r="I243" s="145"/>
      <c r="J243" s="8">
        <f t="shared" si="54"/>
        <v>3</v>
      </c>
      <c r="K243" s="8">
        <f t="shared" si="55"/>
        <v>0</v>
      </c>
      <c r="L243" s="377">
        <f t="shared" si="56"/>
        <v>4</v>
      </c>
      <c r="M243" s="8">
        <f t="shared" si="57"/>
        <v>0</v>
      </c>
      <c r="N243" s="8">
        <f t="shared" si="58"/>
        <v>4</v>
      </c>
      <c r="O243" s="8">
        <f t="shared" si="59"/>
        <v>1</v>
      </c>
      <c r="P243" s="8">
        <f t="shared" si="60"/>
        <v>5</v>
      </c>
      <c r="Q243" s="14">
        <f t="shared" si="61"/>
        <v>0</v>
      </c>
      <c r="R243" s="14" t="str">
        <f t="shared" si="62"/>
        <v>C</v>
      </c>
      <c r="S243" s="14">
        <f t="shared" si="63"/>
        <v>0</v>
      </c>
      <c r="T243" s="14" t="str">
        <f t="shared" si="64"/>
        <v>DS</v>
      </c>
      <c r="U243" s="25"/>
      <c r="V243" s="25"/>
      <c r="W243" s="25"/>
      <c r="X243" s="25"/>
      <c r="Y243" s="25"/>
      <c r="Z243" s="25"/>
    </row>
    <row r="244" spans="1:26" ht="19.7" customHeight="1" x14ac:dyDescent="0.2">
      <c r="A244" s="74" t="str">
        <f t="shared" si="53"/>
        <v>UMX4300</v>
      </c>
      <c r="B244" s="146" t="s">
        <v>189</v>
      </c>
      <c r="C244" s="146"/>
      <c r="D244" s="146"/>
      <c r="E244" s="146"/>
      <c r="F244" s="146"/>
      <c r="G244" s="146"/>
      <c r="H244" s="146"/>
      <c r="I244" s="146"/>
      <c r="J244" s="75">
        <f t="shared" si="54"/>
        <v>3</v>
      </c>
      <c r="K244" s="75">
        <f t="shared" si="55"/>
        <v>2</v>
      </c>
      <c r="L244" s="75">
        <f t="shared" si="56"/>
        <v>0</v>
      </c>
      <c r="M244" s="75">
        <f t="shared" si="57"/>
        <v>0</v>
      </c>
      <c r="N244" s="75">
        <f t="shared" si="58"/>
        <v>2</v>
      </c>
      <c r="O244" s="75">
        <f t="shared" si="59"/>
        <v>3</v>
      </c>
      <c r="P244" s="75">
        <f t="shared" si="60"/>
        <v>5</v>
      </c>
      <c r="Q244" s="76">
        <f t="shared" si="61"/>
        <v>0</v>
      </c>
      <c r="R244" s="76" t="str">
        <f t="shared" si="62"/>
        <v>C</v>
      </c>
      <c r="S244" s="76">
        <f t="shared" si="63"/>
        <v>0</v>
      </c>
      <c r="T244" s="76" t="str">
        <f t="shared" si="64"/>
        <v>DS</v>
      </c>
      <c r="U244" s="72" t="s">
        <v>248</v>
      </c>
      <c r="V244" s="72"/>
      <c r="W244" s="25"/>
      <c r="X244" s="25"/>
      <c r="Y244" s="25"/>
      <c r="Z244" s="25"/>
    </row>
    <row r="245" spans="1:26" ht="19.7" customHeight="1" x14ac:dyDescent="0.2">
      <c r="A245" s="17" t="str">
        <f t="shared" si="53"/>
        <v>UME4311</v>
      </c>
      <c r="B245" s="145" t="s">
        <v>191</v>
      </c>
      <c r="C245" s="145"/>
      <c r="D245" s="145"/>
      <c r="E245" s="145"/>
      <c r="F245" s="145"/>
      <c r="G245" s="145"/>
      <c r="H245" s="145"/>
      <c r="I245" s="145"/>
      <c r="J245" s="8">
        <f t="shared" si="54"/>
        <v>6</v>
      </c>
      <c r="K245" s="8">
        <f t="shared" si="55"/>
        <v>2</v>
      </c>
      <c r="L245" s="8">
        <f t="shared" si="56"/>
        <v>1</v>
      </c>
      <c r="M245" s="8">
        <f t="shared" si="57"/>
        <v>0</v>
      </c>
      <c r="N245" s="8">
        <f t="shared" si="58"/>
        <v>3</v>
      </c>
      <c r="O245" s="8">
        <f t="shared" si="59"/>
        <v>8</v>
      </c>
      <c r="P245" s="8">
        <f t="shared" si="60"/>
        <v>11</v>
      </c>
      <c r="Q245" s="14" t="str">
        <f t="shared" si="61"/>
        <v>E</v>
      </c>
      <c r="R245" s="14">
        <f t="shared" si="62"/>
        <v>0</v>
      </c>
      <c r="S245" s="14">
        <f t="shared" si="63"/>
        <v>0</v>
      </c>
      <c r="T245" s="14" t="str">
        <f t="shared" si="64"/>
        <v>DS</v>
      </c>
      <c r="U245" s="72" t="s">
        <v>247</v>
      </c>
      <c r="V245" s="73"/>
      <c r="W245" s="73"/>
      <c r="X245" s="25"/>
      <c r="Y245" s="25"/>
      <c r="Z245" s="25"/>
    </row>
    <row r="246" spans="1:26" ht="28.35" customHeight="1" x14ac:dyDescent="0.2">
      <c r="A246" s="74" t="str">
        <f t="shared" si="53"/>
        <v>UMR4314</v>
      </c>
      <c r="B246" s="146" t="s">
        <v>197</v>
      </c>
      <c r="C246" s="146"/>
      <c r="D246" s="146"/>
      <c r="E246" s="146"/>
      <c r="F246" s="146"/>
      <c r="G246" s="146"/>
      <c r="H246" s="146"/>
      <c r="I246" s="146"/>
      <c r="J246" s="75">
        <f t="shared" si="54"/>
        <v>5</v>
      </c>
      <c r="K246" s="75">
        <f t="shared" si="55"/>
        <v>2</v>
      </c>
      <c r="L246" s="75">
        <f t="shared" si="56"/>
        <v>1</v>
      </c>
      <c r="M246" s="75">
        <f t="shared" si="57"/>
        <v>0</v>
      </c>
      <c r="N246" s="75">
        <f t="shared" si="58"/>
        <v>3</v>
      </c>
      <c r="O246" s="75">
        <f t="shared" si="59"/>
        <v>6</v>
      </c>
      <c r="P246" s="75">
        <f t="shared" si="60"/>
        <v>9</v>
      </c>
      <c r="Q246" s="76">
        <f t="shared" si="61"/>
        <v>0</v>
      </c>
      <c r="R246" s="76" t="str">
        <f t="shared" si="62"/>
        <v>C</v>
      </c>
      <c r="S246" s="76">
        <f t="shared" si="63"/>
        <v>0</v>
      </c>
      <c r="T246" s="76" t="str">
        <f t="shared" si="64"/>
        <v>DS</v>
      </c>
      <c r="U246" s="72" t="s">
        <v>248</v>
      </c>
      <c r="V246" s="72"/>
      <c r="W246" s="25"/>
      <c r="X246" s="25"/>
      <c r="Y246" s="25"/>
      <c r="Z246" s="25"/>
    </row>
    <row r="247" spans="1:26" ht="28.35" customHeight="1" x14ac:dyDescent="0.2">
      <c r="A247" s="17" t="str">
        <f t="shared" si="53"/>
        <v>UMR4315</v>
      </c>
      <c r="B247" s="145" t="s">
        <v>199</v>
      </c>
      <c r="C247" s="145"/>
      <c r="D247" s="145"/>
      <c r="E247" s="145"/>
      <c r="F247" s="145"/>
      <c r="G247" s="145"/>
      <c r="H247" s="145"/>
      <c r="I247" s="145"/>
      <c r="J247" s="8">
        <f t="shared" si="54"/>
        <v>4</v>
      </c>
      <c r="K247" s="8">
        <f t="shared" si="55"/>
        <v>0</v>
      </c>
      <c r="L247" s="377">
        <f t="shared" si="56"/>
        <v>4</v>
      </c>
      <c r="M247" s="8">
        <f t="shared" si="57"/>
        <v>0</v>
      </c>
      <c r="N247" s="8">
        <f t="shared" si="58"/>
        <v>4</v>
      </c>
      <c r="O247" s="8">
        <f t="shared" si="59"/>
        <v>3</v>
      </c>
      <c r="P247" s="8">
        <f t="shared" si="60"/>
        <v>7</v>
      </c>
      <c r="Q247" s="14">
        <f t="shared" si="61"/>
        <v>0</v>
      </c>
      <c r="R247" s="14" t="str">
        <f t="shared" si="62"/>
        <v>C</v>
      </c>
      <c r="S247" s="14">
        <f t="shared" si="63"/>
        <v>0</v>
      </c>
      <c r="T247" s="14" t="str">
        <f t="shared" si="64"/>
        <v>DS</v>
      </c>
      <c r="U247" s="25"/>
      <c r="V247" s="25"/>
      <c r="W247" s="25"/>
      <c r="X247" s="25"/>
      <c r="Y247" s="25"/>
      <c r="Z247" s="25"/>
    </row>
    <row r="248" spans="1:26" ht="19.7" customHeight="1" x14ac:dyDescent="0.2">
      <c r="A248" s="74" t="str">
        <f t="shared" si="53"/>
        <v>UMX4310</v>
      </c>
      <c r="B248" s="146" t="s">
        <v>201</v>
      </c>
      <c r="C248" s="146"/>
      <c r="D248" s="146"/>
      <c r="E248" s="146"/>
      <c r="F248" s="146"/>
      <c r="G248" s="146"/>
      <c r="H248" s="146"/>
      <c r="I248" s="146"/>
      <c r="J248" s="75">
        <f t="shared" si="54"/>
        <v>3</v>
      </c>
      <c r="K248" s="75">
        <f t="shared" si="55"/>
        <v>2</v>
      </c>
      <c r="L248" s="75">
        <f t="shared" si="56"/>
        <v>0</v>
      </c>
      <c r="M248" s="75">
        <f t="shared" si="57"/>
        <v>0</v>
      </c>
      <c r="N248" s="75">
        <f t="shared" si="58"/>
        <v>2</v>
      </c>
      <c r="O248" s="75">
        <f t="shared" si="59"/>
        <v>3</v>
      </c>
      <c r="P248" s="75">
        <f t="shared" si="60"/>
        <v>5</v>
      </c>
      <c r="Q248" s="76" t="str">
        <f t="shared" si="61"/>
        <v>E</v>
      </c>
      <c r="R248" s="76">
        <f t="shared" si="62"/>
        <v>0</v>
      </c>
      <c r="S248" s="76">
        <f t="shared" si="63"/>
        <v>0</v>
      </c>
      <c r="T248" s="76" t="str">
        <f t="shared" si="64"/>
        <v>DS</v>
      </c>
      <c r="U248" s="72" t="s">
        <v>248</v>
      </c>
      <c r="V248" s="72"/>
      <c r="W248" s="25"/>
      <c r="X248" s="25"/>
      <c r="Y248" s="25"/>
      <c r="Z248" s="25"/>
    </row>
    <row r="249" spans="1:26" ht="12.75" customHeight="1" x14ac:dyDescent="0.2">
      <c r="A249" s="9" t="s">
        <v>22</v>
      </c>
      <c r="B249" s="301"/>
      <c r="C249" s="301"/>
      <c r="D249" s="301"/>
      <c r="E249" s="301"/>
      <c r="F249" s="301"/>
      <c r="G249" s="301"/>
      <c r="H249" s="301"/>
      <c r="I249" s="301"/>
      <c r="J249" s="10">
        <f t="shared" ref="J249:P249" si="65">SUM(J239:J248)</f>
        <v>44</v>
      </c>
      <c r="K249" s="10">
        <f t="shared" si="65"/>
        <v>16</v>
      </c>
      <c r="L249" s="10">
        <f t="shared" si="65"/>
        <v>14</v>
      </c>
      <c r="M249" s="10">
        <f t="shared" si="65"/>
        <v>0</v>
      </c>
      <c r="N249" s="10">
        <f t="shared" si="65"/>
        <v>30</v>
      </c>
      <c r="O249" s="10">
        <f t="shared" si="65"/>
        <v>48</v>
      </c>
      <c r="P249" s="10">
        <f t="shared" si="65"/>
        <v>78</v>
      </c>
      <c r="Q249" s="9">
        <f>COUNTIF(Q239:Q248,"E")</f>
        <v>6</v>
      </c>
      <c r="R249" s="9">
        <f>COUNTIF(R239:R248,"C")</f>
        <v>4</v>
      </c>
      <c r="S249" s="9">
        <f>COUNTIF(S239:S248,"VP")</f>
        <v>0</v>
      </c>
      <c r="T249" s="7">
        <f>COUNTA(T239:T248)</f>
        <v>10</v>
      </c>
      <c r="U249" s="25"/>
      <c r="V249" s="25"/>
      <c r="W249" s="25"/>
      <c r="X249" s="25"/>
      <c r="Y249" s="25"/>
      <c r="Z249" s="25"/>
    </row>
    <row r="250" spans="1:26" ht="12.75" customHeight="1" x14ac:dyDescent="0.2">
      <c r="A250" s="176" t="s">
        <v>149</v>
      </c>
      <c r="B250" s="176"/>
      <c r="C250" s="176"/>
      <c r="D250" s="176"/>
      <c r="E250" s="176"/>
      <c r="F250" s="176"/>
      <c r="G250" s="176"/>
      <c r="H250" s="176"/>
      <c r="I250" s="176"/>
      <c r="J250" s="176"/>
      <c r="K250" s="176"/>
      <c r="L250" s="176"/>
      <c r="M250" s="176"/>
      <c r="N250" s="176"/>
      <c r="O250" s="176"/>
      <c r="P250" s="176"/>
      <c r="Q250" s="176"/>
      <c r="R250" s="176"/>
      <c r="S250" s="176"/>
      <c r="T250" s="176"/>
      <c r="U250" s="25"/>
      <c r="V250" s="25"/>
      <c r="W250" s="25"/>
      <c r="X250" s="25"/>
      <c r="Y250" s="25"/>
      <c r="Z250" s="25"/>
    </row>
    <row r="251" spans="1:26" ht="28.35" customHeight="1" x14ac:dyDescent="0.2">
      <c r="A251" s="17" t="str">
        <f>IF(ISNA(INDEX($A$117:$T$186,MATCH($B251,$B$117:$B$186,0),1)),"",INDEX($A$117:$T$186,MATCH($B251,$B$117:$B$186,0),1))</f>
        <v>UMR4417</v>
      </c>
      <c r="B251" s="145" t="s">
        <v>205</v>
      </c>
      <c r="C251" s="145"/>
      <c r="D251" s="145"/>
      <c r="E251" s="145"/>
      <c r="F251" s="145"/>
      <c r="G251" s="145"/>
      <c r="H251" s="145"/>
      <c r="I251" s="145"/>
      <c r="J251" s="8">
        <f>IF(ISNA(INDEX($A$117:$T$186,MATCH($B251,$B$117:$B$186,0),10)),"",INDEX($A$117:$T$186,MATCH($B251,$B$117:$B$186,0),10))</f>
        <v>8</v>
      </c>
      <c r="K251" s="8">
        <f>IF(ISNA(INDEX($A$117:$T$186,MATCH($B251,$B$117:$B$186,0),11)),"",INDEX($A$117:$T$186,MATCH($B251,$B$117:$B$186,0),11))</f>
        <v>2</v>
      </c>
      <c r="L251" s="8">
        <f>IF(ISNA(INDEX($A$117:$T$186,MATCH($B251,$B$117:$B$186,0),12)),"",INDEX($A$117:$T$186,MATCH($B251,$B$117:$B$186,0),12))</f>
        <v>1</v>
      </c>
      <c r="M251" s="8">
        <f>IF(ISNA(INDEX($A$117:$T$186,MATCH($B251,$B$117:$B$186,0),13)),"",INDEX($A$117:$T$186,MATCH($B251,$B$117:$B$186,0),13))</f>
        <v>0</v>
      </c>
      <c r="N251" s="8">
        <f>IF(ISNA(INDEX($A$117:$T$186,MATCH($B251,$B$117:$B$186,0),14)),"",INDEX($A$117:$T$186,MATCH($B251,$B$117:$B$186,0),14))</f>
        <v>3</v>
      </c>
      <c r="O251" s="8">
        <f>IF(ISNA(INDEX($A$117:$T$186,MATCH($B251,$B$117:$B$186,0),15)),"",INDEX($A$117:$T$186,MATCH($B251,$B$117:$B$186,0),15))</f>
        <v>14</v>
      </c>
      <c r="P251" s="8">
        <f>IF(ISNA(INDEX($A$117:$T$186,MATCH($B251,$B$117:$B$186,0),16)),"",INDEX($A$117:$T$186,MATCH($B251,$B$117:$B$186,0),16))</f>
        <v>17</v>
      </c>
      <c r="Q251" s="14" t="str">
        <f>IF(ISNA(INDEX($A$117:$T$186,MATCH($B251,$B$117:$B$186,0),17)),"",INDEX($A$117:$T$186,MATCH($B251,$B$117:$B$186,0),17))</f>
        <v>E</v>
      </c>
      <c r="R251" s="14">
        <f>IF(ISNA(INDEX($A$117:$T$186,MATCH($B251,$B$117:$B$186,0),18)),"",INDEX($A$117:$T$186,MATCH($B251,$B$117:$B$186,0),18))</f>
        <v>0</v>
      </c>
      <c r="S251" s="14">
        <f>IF(ISNA(INDEX($A$117:$T$186,MATCH($B251,$B$117:$B$186,0),19)),"",INDEX($A$117:$T$186,MATCH($B251,$B$117:$B$186,0),19))</f>
        <v>0</v>
      </c>
      <c r="T251" s="14" t="str">
        <f>IF(ISNA(INDEX($A$117:$T$186,MATCH($B251,$B$117:$B$186,0),20)),"",INDEX($A$117:$T$186,MATCH($B251,$B$117:$B$186,0),20))</f>
        <v>DS</v>
      </c>
      <c r="U251" s="25"/>
      <c r="V251" s="25"/>
      <c r="W251" s="25"/>
      <c r="X251" s="25"/>
      <c r="Y251" s="25"/>
      <c r="Z251" s="25"/>
    </row>
    <row r="252" spans="1:26" ht="19.7" customHeight="1" x14ac:dyDescent="0.2">
      <c r="A252" s="17" t="str">
        <f>IF(ISNA(INDEX($A$117:$T$186,MATCH($B252,$B$117:$B$186,0),1)),"",INDEX($A$117:$T$186,MATCH($B252,$B$117:$B$186,0),1))</f>
        <v>UME5420</v>
      </c>
      <c r="B252" s="145" t="s">
        <v>207</v>
      </c>
      <c r="C252" s="145"/>
      <c r="D252" s="145"/>
      <c r="E252" s="145"/>
      <c r="F252" s="145"/>
      <c r="G252" s="145"/>
      <c r="H252" s="145"/>
      <c r="I252" s="145"/>
      <c r="J252" s="8">
        <f>IF(ISNA(INDEX($A$117:$T$186,MATCH($B252,$B$117:$B$186,0),10)),"",INDEX($A$117:$T$186,MATCH($B252,$B$117:$B$186,0),10))</f>
        <v>7</v>
      </c>
      <c r="K252" s="8">
        <f>IF(ISNA(INDEX($A$117:$T$186,MATCH($B252,$B$117:$B$186,0),11)),"",INDEX($A$117:$T$186,MATCH($B252,$B$117:$B$186,0),11))</f>
        <v>0</v>
      </c>
      <c r="L252" s="377">
        <f>IF(ISNA(INDEX($A$117:$T$186,MATCH($B252,$B$117:$B$186,0),12)),"",INDEX($A$117:$T$186,MATCH($B252,$B$117:$B$186,0),12))</f>
        <v>4</v>
      </c>
      <c r="M252" s="8">
        <f>IF(ISNA(INDEX($A$117:$T$186,MATCH($B252,$B$117:$B$186,0),13)),"",INDEX($A$117:$T$186,MATCH($B252,$B$117:$B$186,0),13))</f>
        <v>0</v>
      </c>
      <c r="N252" s="8">
        <f>IF(ISNA(INDEX($A$117:$T$186,MATCH($B252,$B$117:$B$186,0),14)),"",INDEX($A$117:$T$186,MATCH($B252,$B$117:$B$186,0),14))</f>
        <v>4</v>
      </c>
      <c r="O252" s="8">
        <f>IF(ISNA(INDEX($A$117:$T$186,MATCH($B252,$B$117:$B$186,0),15)),"",INDEX($A$117:$T$186,MATCH($B252,$B$117:$B$186,0),15))</f>
        <v>11</v>
      </c>
      <c r="P252" s="8">
        <f>IF(ISNA(INDEX($A$117:$T$186,MATCH($B252,$B$117:$B$186,0),16)),"",INDEX($A$117:$T$186,MATCH($B252,$B$117:$B$186,0),16))</f>
        <v>15</v>
      </c>
      <c r="Q252" s="14" t="str">
        <f>IF(ISNA(INDEX($A$117:$T$186,MATCH($B252,$B$117:$B$186,0),17)),"",INDEX($A$117:$T$186,MATCH($B252,$B$117:$B$186,0),17))</f>
        <v>E</v>
      </c>
      <c r="R252" s="14">
        <f>IF(ISNA(INDEX($A$117:$T$186,MATCH($B252,$B$117:$B$186,0),18)),"",INDEX($A$117:$T$186,MATCH($B252,$B$117:$B$186,0),18))</f>
        <v>0</v>
      </c>
      <c r="S252" s="14">
        <f>IF(ISNA(INDEX($A$117:$T$186,MATCH($B252,$B$117:$B$186,0),19)),"",INDEX($A$117:$T$186,MATCH($B252,$B$117:$B$186,0),19))</f>
        <v>0</v>
      </c>
      <c r="T252" s="14" t="str">
        <f>IF(ISNA(INDEX($A$117:$T$186,MATCH($B252,$B$117:$B$186,0),20)),"",INDEX($A$117:$T$186,MATCH($B252,$B$117:$B$186,0),20))</f>
        <v>DS</v>
      </c>
      <c r="U252" s="25"/>
      <c r="V252" s="25"/>
      <c r="W252" s="25"/>
      <c r="X252" s="25"/>
      <c r="Y252" s="25"/>
      <c r="Z252" s="25"/>
    </row>
    <row r="253" spans="1:26" ht="28.35" customHeight="1" x14ac:dyDescent="0.2">
      <c r="A253" s="17" t="str">
        <f>IF(ISNA(INDEX($A$117:$T$186,MATCH($B253,$B$117:$B$186,0),1)),"",INDEX($A$117:$T$186,MATCH($B253,$B$117:$B$186,0),1))</f>
        <v>UMR4418</v>
      </c>
      <c r="B253" s="297" t="s">
        <v>209</v>
      </c>
      <c r="C253" s="298"/>
      <c r="D253" s="298"/>
      <c r="E253" s="298"/>
      <c r="F253" s="298"/>
      <c r="G253" s="298"/>
      <c r="H253" s="298"/>
      <c r="I253" s="299"/>
      <c r="J253" s="8">
        <f>IF(ISNA(INDEX($A$117:$T$186,MATCH($B253,$B$117:$B$186,0),10)),"",INDEX($A$117:$T$186,MATCH($B253,$B$117:$B$186,0),10))</f>
        <v>7</v>
      </c>
      <c r="K253" s="8">
        <f>IF(ISNA(INDEX($A$117:$T$186,MATCH($B253,$B$117:$B$186,0),11)),"",INDEX($A$117:$T$186,MATCH($B253,$B$117:$B$186,0),11))</f>
        <v>2</v>
      </c>
      <c r="L253" s="8">
        <f>IF(ISNA(INDEX($A$117:$T$186,MATCH($B253,$B$117:$B$186,0),12)),"",INDEX($A$117:$T$186,MATCH($B253,$B$117:$B$186,0),12))</f>
        <v>1</v>
      </c>
      <c r="M253" s="8">
        <f>IF(ISNA(INDEX($A$117:$T$186,MATCH($B253,$B$117:$B$186,0),13)),"",INDEX($A$117:$T$186,MATCH($B253,$B$117:$B$186,0),13))</f>
        <v>0</v>
      </c>
      <c r="N253" s="8">
        <f>IF(ISNA(INDEX($A$117:$T$186,MATCH($B253,$B$117:$B$186,0),14)),"",INDEX($A$117:$T$186,MATCH($B253,$B$117:$B$186,0),14))</f>
        <v>3</v>
      </c>
      <c r="O253" s="8">
        <f>IF(ISNA(INDEX($A$117:$T$186,MATCH($B253,$B$117:$B$186,0),15)),"",INDEX($A$117:$T$186,MATCH($B253,$B$117:$B$186,0),15))</f>
        <v>12</v>
      </c>
      <c r="P253" s="8">
        <f>IF(ISNA(INDEX($A$117:$T$186,MATCH($B253,$B$117:$B$186,0),16)),"",INDEX($A$117:$T$186,MATCH($B253,$B$117:$B$186,0),16))</f>
        <v>15</v>
      </c>
      <c r="Q253" s="14" t="str">
        <f>IF(ISNA(INDEX($A$117:$T$186,MATCH($B253,$B$117:$B$186,0),17)),"",INDEX($A$117:$T$186,MATCH($B253,$B$117:$B$186,0),17))</f>
        <v>E</v>
      </c>
      <c r="R253" s="14">
        <f>IF(ISNA(INDEX($A$117:$T$186,MATCH($B253,$B$117:$B$186,0),18)),"",INDEX($A$117:$T$186,MATCH($B253,$B$117:$B$186,0),18))</f>
        <v>0</v>
      </c>
      <c r="S253" s="14">
        <f>IF(ISNA(INDEX($A$117:$T$186,MATCH($B253,$B$117:$B$186,0),19)),"",INDEX($A$117:$T$186,MATCH($B253,$B$117:$B$186,0),19))</f>
        <v>0</v>
      </c>
      <c r="T253" s="14" t="str">
        <f>IF(ISNA(INDEX($A$117:$T$186,MATCH($B253,$B$117:$B$186,0),20)),"",INDEX($A$117:$T$186,MATCH($B253,$B$117:$B$186,0),20))</f>
        <v>DS</v>
      </c>
      <c r="U253" s="25"/>
      <c r="V253" s="25"/>
      <c r="W253" s="25"/>
      <c r="X253" s="25"/>
      <c r="Y253" s="25"/>
      <c r="Z253" s="25"/>
    </row>
    <row r="254" spans="1:26" ht="12.75" customHeight="1" x14ac:dyDescent="0.2">
      <c r="A254" s="9" t="s">
        <v>22</v>
      </c>
      <c r="B254" s="176"/>
      <c r="C254" s="176"/>
      <c r="D254" s="176"/>
      <c r="E254" s="176"/>
      <c r="F254" s="176"/>
      <c r="G254" s="176"/>
      <c r="H254" s="176"/>
      <c r="I254" s="176"/>
      <c r="J254" s="10">
        <f t="shared" ref="J254:P254" si="66">SUM(J251:J253)</f>
        <v>22</v>
      </c>
      <c r="K254" s="10">
        <f t="shared" si="66"/>
        <v>4</v>
      </c>
      <c r="L254" s="10">
        <f t="shared" si="66"/>
        <v>6</v>
      </c>
      <c r="M254" s="10">
        <f t="shared" si="66"/>
        <v>0</v>
      </c>
      <c r="N254" s="10">
        <f t="shared" si="66"/>
        <v>10</v>
      </c>
      <c r="O254" s="10">
        <f t="shared" si="66"/>
        <v>37</v>
      </c>
      <c r="P254" s="10">
        <f t="shared" si="66"/>
        <v>47</v>
      </c>
      <c r="Q254" s="9">
        <f>COUNTIF(Q251:Q253,"E")</f>
        <v>3</v>
      </c>
      <c r="R254" s="9">
        <f>COUNTIF(R251:R253,"C")</f>
        <v>0</v>
      </c>
      <c r="S254" s="9">
        <f>COUNTIF(S251:S253,"VP")</f>
        <v>0</v>
      </c>
      <c r="T254" s="7">
        <f>COUNTA(T251:T253)</f>
        <v>3</v>
      </c>
      <c r="U254" s="25"/>
      <c r="V254" s="25"/>
      <c r="W254" s="25"/>
      <c r="X254" s="25"/>
      <c r="Y254" s="25"/>
      <c r="Z254" s="25"/>
    </row>
    <row r="255" spans="1:26" ht="12.75" customHeight="1" x14ac:dyDescent="0.2">
      <c r="A255" s="169" t="s">
        <v>76</v>
      </c>
      <c r="B255" s="169"/>
      <c r="C255" s="169"/>
      <c r="D255" s="169"/>
      <c r="E255" s="169"/>
      <c r="F255" s="169"/>
      <c r="G255" s="169"/>
      <c r="H255" s="169"/>
      <c r="I255" s="169"/>
      <c r="J255" s="10">
        <f t="shared" ref="J255:S255" si="67">SUM(J249,J254)</f>
        <v>66</v>
      </c>
      <c r="K255" s="10">
        <f t="shared" si="67"/>
        <v>20</v>
      </c>
      <c r="L255" s="10">
        <f t="shared" si="67"/>
        <v>20</v>
      </c>
      <c r="M255" s="10">
        <f t="shared" si="67"/>
        <v>0</v>
      </c>
      <c r="N255" s="10">
        <f t="shared" si="67"/>
        <v>40</v>
      </c>
      <c r="O255" s="10">
        <f t="shared" si="67"/>
        <v>85</v>
      </c>
      <c r="P255" s="10">
        <f t="shared" si="67"/>
        <v>125</v>
      </c>
      <c r="Q255" s="10">
        <f t="shared" si="67"/>
        <v>9</v>
      </c>
      <c r="R255" s="10">
        <f t="shared" si="67"/>
        <v>4</v>
      </c>
      <c r="S255" s="10">
        <f t="shared" si="67"/>
        <v>0</v>
      </c>
      <c r="T255" s="31">
        <f>SUM(T249,T254)</f>
        <v>13</v>
      </c>
      <c r="U255" s="25"/>
      <c r="V255" s="25"/>
      <c r="W255" s="25"/>
      <c r="X255" s="25"/>
      <c r="Y255" s="25"/>
      <c r="Z255" s="25"/>
    </row>
    <row r="256" spans="1:26" ht="12.75" customHeight="1" x14ac:dyDescent="0.2">
      <c r="A256" s="169" t="s">
        <v>43</v>
      </c>
      <c r="B256" s="169"/>
      <c r="C256" s="169"/>
      <c r="D256" s="169"/>
      <c r="E256" s="169"/>
      <c r="F256" s="169"/>
      <c r="G256" s="169"/>
      <c r="H256" s="169"/>
      <c r="I256" s="169"/>
      <c r="J256" s="169"/>
      <c r="K256" s="10">
        <f>K249*14+K254*12</f>
        <v>272</v>
      </c>
      <c r="L256" s="10">
        <f t="shared" ref="L256:P256" si="68">L249*14+L254*12</f>
        <v>268</v>
      </c>
      <c r="M256" s="10">
        <f t="shared" si="68"/>
        <v>0</v>
      </c>
      <c r="N256" s="10">
        <f t="shared" si="68"/>
        <v>540</v>
      </c>
      <c r="O256" s="10">
        <f t="shared" si="68"/>
        <v>1116</v>
      </c>
      <c r="P256" s="10">
        <f t="shared" si="68"/>
        <v>1656</v>
      </c>
      <c r="Q256" s="178"/>
      <c r="R256" s="178"/>
      <c r="S256" s="178"/>
      <c r="T256" s="178"/>
    </row>
    <row r="257" spans="1:26" ht="12.75" customHeight="1" x14ac:dyDescent="0.2">
      <c r="A257" s="169"/>
      <c r="B257" s="169"/>
      <c r="C257" s="169"/>
      <c r="D257" s="169"/>
      <c r="E257" s="169"/>
      <c r="F257" s="169"/>
      <c r="G257" s="169"/>
      <c r="H257" s="169"/>
      <c r="I257" s="169"/>
      <c r="J257" s="169"/>
      <c r="K257" s="179">
        <f>SUM(K256:M256)</f>
        <v>540</v>
      </c>
      <c r="L257" s="179"/>
      <c r="M257" s="179"/>
      <c r="N257" s="179">
        <f>SUM(N256:O256)</f>
        <v>1656</v>
      </c>
      <c r="O257" s="179"/>
      <c r="P257" s="179"/>
      <c r="Q257" s="178"/>
      <c r="R257" s="178"/>
      <c r="S257" s="178"/>
      <c r="T257" s="178"/>
    </row>
    <row r="258" spans="1:26" ht="12.75" customHeight="1" x14ac:dyDescent="0.2">
      <c r="A258" s="199" t="s">
        <v>62</v>
      </c>
      <c r="B258" s="208"/>
      <c r="C258" s="208"/>
      <c r="D258" s="208"/>
      <c r="E258" s="208"/>
      <c r="F258" s="208"/>
      <c r="G258" s="208"/>
      <c r="H258" s="208"/>
      <c r="I258" s="208"/>
      <c r="J258" s="200"/>
      <c r="K258" s="183">
        <f>T255/SUM(T128,T141,T153,T165)</f>
        <v>0.59090909090909094</v>
      </c>
      <c r="L258" s="183"/>
      <c r="M258" s="183"/>
      <c r="N258" s="183"/>
      <c r="O258" s="183"/>
      <c r="P258" s="183"/>
      <c r="Q258" s="183"/>
      <c r="R258" s="183"/>
      <c r="S258" s="183"/>
      <c r="T258" s="183"/>
    </row>
    <row r="259" spans="1:26" ht="12.75" customHeight="1" x14ac:dyDescent="0.2">
      <c r="A259" s="212" t="s">
        <v>63</v>
      </c>
      <c r="B259" s="212"/>
      <c r="C259" s="212"/>
      <c r="D259" s="212"/>
      <c r="E259" s="212"/>
      <c r="F259" s="212"/>
      <c r="G259" s="212"/>
      <c r="H259" s="212"/>
      <c r="I259" s="212"/>
      <c r="J259" s="212"/>
      <c r="K259" s="183">
        <f>K257/(SUM(N128,N141,N153)*14+N165*12)</f>
        <v>0.59210526315789469</v>
      </c>
      <c r="L259" s="183"/>
      <c r="M259" s="183"/>
      <c r="N259" s="183"/>
      <c r="O259" s="183"/>
      <c r="P259" s="183"/>
      <c r="Q259" s="183"/>
      <c r="R259" s="183"/>
      <c r="S259" s="183"/>
      <c r="T259" s="183"/>
    </row>
    <row r="260" spans="1:26" x14ac:dyDescent="0.2">
      <c r="B260" s="2"/>
      <c r="C260" s="2"/>
      <c r="D260" s="2"/>
      <c r="E260" s="2"/>
      <c r="F260" s="2"/>
      <c r="G260" s="2"/>
      <c r="M260" s="4"/>
      <c r="N260" s="4"/>
      <c r="O260" s="4"/>
      <c r="P260" s="4"/>
      <c r="Q260" s="4"/>
      <c r="R260" s="4"/>
      <c r="S260" s="4"/>
    </row>
    <row r="261" spans="1:26" x14ac:dyDescent="0.2">
      <c r="A261" s="235" t="s">
        <v>151</v>
      </c>
      <c r="B261" s="236"/>
      <c r="C261" s="236"/>
      <c r="D261" s="236"/>
      <c r="E261" s="236"/>
      <c r="F261" s="236"/>
      <c r="G261" s="236"/>
      <c r="H261" s="236"/>
      <c r="I261" s="236"/>
      <c r="J261" s="236"/>
      <c r="K261" s="236"/>
      <c r="L261" s="236"/>
      <c r="M261" s="236"/>
      <c r="N261" s="236"/>
      <c r="O261" s="236"/>
      <c r="P261" s="236"/>
      <c r="Q261" s="236"/>
      <c r="R261" s="236"/>
      <c r="S261" s="236"/>
      <c r="T261" s="237"/>
    </row>
    <row r="262" spans="1:26" x14ac:dyDescent="0.2">
      <c r="A262" s="238"/>
      <c r="B262" s="239"/>
      <c r="C262" s="239"/>
      <c r="D262" s="239"/>
      <c r="E262" s="239"/>
      <c r="F262" s="239"/>
      <c r="G262" s="239"/>
      <c r="H262" s="239"/>
      <c r="I262" s="239"/>
      <c r="J262" s="239"/>
      <c r="K262" s="239"/>
      <c r="L262" s="239"/>
      <c r="M262" s="239"/>
      <c r="N262" s="239"/>
      <c r="O262" s="239"/>
      <c r="P262" s="239"/>
      <c r="Q262" s="239"/>
      <c r="R262" s="239"/>
      <c r="S262" s="239"/>
      <c r="T262" s="240"/>
    </row>
    <row r="263" spans="1:26" x14ac:dyDescent="0.2">
      <c r="A263" s="176" t="s">
        <v>24</v>
      </c>
      <c r="B263" s="176" t="s">
        <v>23</v>
      </c>
      <c r="C263" s="176"/>
      <c r="D263" s="176"/>
      <c r="E263" s="176"/>
      <c r="F263" s="176"/>
      <c r="G263" s="176"/>
      <c r="H263" s="176"/>
      <c r="I263" s="176"/>
      <c r="J263" s="177" t="s">
        <v>35</v>
      </c>
      <c r="K263" s="170" t="s">
        <v>21</v>
      </c>
      <c r="L263" s="171"/>
      <c r="M263" s="172"/>
      <c r="N263" s="170" t="s">
        <v>36</v>
      </c>
      <c r="O263" s="171"/>
      <c r="P263" s="172"/>
      <c r="Q263" s="170" t="s">
        <v>20</v>
      </c>
      <c r="R263" s="171"/>
      <c r="S263" s="172"/>
      <c r="T263" s="177" t="s">
        <v>19</v>
      </c>
    </row>
    <row r="264" spans="1:26" ht="12.75" customHeight="1" x14ac:dyDescent="0.2">
      <c r="A264" s="176"/>
      <c r="B264" s="176"/>
      <c r="C264" s="176"/>
      <c r="D264" s="176"/>
      <c r="E264" s="176"/>
      <c r="F264" s="176"/>
      <c r="G264" s="176"/>
      <c r="H264" s="176"/>
      <c r="I264" s="176"/>
      <c r="J264" s="177"/>
      <c r="K264" s="173"/>
      <c r="L264" s="174"/>
      <c r="M264" s="175"/>
      <c r="N264" s="173"/>
      <c r="O264" s="174"/>
      <c r="P264" s="175"/>
      <c r="Q264" s="173"/>
      <c r="R264" s="174"/>
      <c r="S264" s="175"/>
      <c r="T264" s="177"/>
    </row>
    <row r="265" spans="1:26" ht="12.75" customHeight="1" x14ac:dyDescent="0.2">
      <c r="A265" s="176"/>
      <c r="B265" s="176"/>
      <c r="C265" s="176"/>
      <c r="D265" s="176"/>
      <c r="E265" s="176"/>
      <c r="F265" s="176"/>
      <c r="G265" s="176"/>
      <c r="H265" s="176"/>
      <c r="I265" s="176"/>
      <c r="J265" s="177"/>
      <c r="K265" s="15" t="s">
        <v>25</v>
      </c>
      <c r="L265" s="15" t="s">
        <v>26</v>
      </c>
      <c r="M265" s="15" t="s">
        <v>27</v>
      </c>
      <c r="N265" s="15" t="s">
        <v>31</v>
      </c>
      <c r="O265" s="15" t="s">
        <v>5</v>
      </c>
      <c r="P265" s="15" t="s">
        <v>28</v>
      </c>
      <c r="Q265" s="15" t="s">
        <v>29</v>
      </c>
      <c r="R265" s="15" t="s">
        <v>25</v>
      </c>
      <c r="S265" s="15" t="s">
        <v>30</v>
      </c>
      <c r="T265" s="177"/>
    </row>
    <row r="266" spans="1:26" x14ac:dyDescent="0.2">
      <c r="A266" s="176" t="s">
        <v>150</v>
      </c>
      <c r="B266" s="176"/>
      <c r="C266" s="176"/>
      <c r="D266" s="176"/>
      <c r="E266" s="176"/>
      <c r="F266" s="176"/>
      <c r="G266" s="176"/>
      <c r="H266" s="176"/>
      <c r="I266" s="176"/>
      <c r="J266" s="176"/>
      <c r="K266" s="176"/>
      <c r="L266" s="176"/>
      <c r="M266" s="176"/>
      <c r="N266" s="176"/>
      <c r="O266" s="176"/>
      <c r="P266" s="176"/>
      <c r="Q266" s="176"/>
      <c r="R266" s="176"/>
      <c r="S266" s="176"/>
      <c r="T266" s="176"/>
    </row>
    <row r="267" spans="1:26" ht="28.35" customHeight="1" x14ac:dyDescent="0.2">
      <c r="A267" s="17" t="str">
        <f>IF(ISNA(INDEX($A$117:$T$186,MATCH($B267,$B$117:$B$186,0),1)),"",INDEX($A$117:$T$186,MATCH($B267,$B$117:$B$186,0),1))</f>
        <v>UMR4208</v>
      </c>
      <c r="B267" s="145" t="s">
        <v>183</v>
      </c>
      <c r="C267" s="145"/>
      <c r="D267" s="145"/>
      <c r="E267" s="145"/>
      <c r="F267" s="145"/>
      <c r="G267" s="145"/>
      <c r="H267" s="145"/>
      <c r="I267" s="145"/>
      <c r="J267" s="8">
        <f>IF(ISNA(INDEX($A$117:$T$186,MATCH($B267,$B$117:$B$186,0),10)),"",INDEX($A$117:$T$186,MATCH($B267,$B$117:$B$186,0),10))</f>
        <v>5</v>
      </c>
      <c r="K267" s="8">
        <f>IF(ISNA(INDEX($A$117:$T$186,MATCH($B267,$B$117:$B$186,0),11)),"",INDEX($A$117:$T$186,MATCH($B267,$B$117:$B$186,0),11))</f>
        <v>2</v>
      </c>
      <c r="L267" s="8">
        <f>IF(ISNA(INDEX($A$117:$T$186,MATCH($B267,$B$117:$B$186,0),12)),"",INDEX($A$117:$T$186,MATCH($B267,$B$117:$B$186,0),12))</f>
        <v>1</v>
      </c>
      <c r="M267" s="8">
        <f>IF(ISNA(INDEX($A$117:$T$186,MATCH($B267,$B$117:$B$186,0),13)),"",INDEX($A$117:$T$186,MATCH($B267,$B$117:$B$186,0),13))</f>
        <v>0</v>
      </c>
      <c r="N267" s="8">
        <f>IF(ISNA(INDEX($A$117:$T$186,MATCH($B267,$B$117:$B$186,0),14)),"",INDEX($A$117:$T$186,MATCH($B267,$B$117:$B$186,0),14))</f>
        <v>3</v>
      </c>
      <c r="O267" s="8">
        <f>IF(ISNA(INDEX($A$117:$T$186,MATCH($B267,$B$117:$B$186,0),15)),"",INDEX($A$117:$T$186,MATCH($B267,$B$117:$B$186,0),15))</f>
        <v>6</v>
      </c>
      <c r="P267" s="8">
        <f>IF(ISNA(INDEX($A$117:$T$186,MATCH($B267,$B$117:$B$186,0),16)),"",INDEX($A$117:$T$186,MATCH($B267,$B$117:$B$186,0),16))</f>
        <v>9</v>
      </c>
      <c r="Q267" s="14" t="str">
        <f>IF(ISNA(INDEX($A$117:$T$186,MATCH($B267,$B$117:$B$186,0),17)),"",INDEX($A$117:$T$186,MATCH($B267,$B$117:$B$186,0),17))</f>
        <v>E</v>
      </c>
      <c r="R267" s="14">
        <f>IF(ISNA(INDEX($A$117:$T$186,MATCH($B267,$B$117:$B$186,0),18)),"",INDEX($A$117:$T$186,MATCH($B267,$B$117:$B$186,0),18))</f>
        <v>0</v>
      </c>
      <c r="S267" s="14">
        <f>IF(ISNA(INDEX($A$117:$T$186,MATCH($B267,$B$117:$B$186,0),19)),"",INDEX($A$117:$T$186,MATCH($B267,$B$117:$B$186,0),19))</f>
        <v>0</v>
      </c>
      <c r="T267" s="14" t="str">
        <f>IF(ISNA(INDEX($A$117:$T$186,MATCH($B267,$B$117:$B$186,0),20)),"",INDEX($A$117:$T$186,MATCH($B267,$B$117:$B$186,0),20))</f>
        <v>DC</v>
      </c>
    </row>
    <row r="268" spans="1:26" ht="19.7" customHeight="1" x14ac:dyDescent="0.2">
      <c r="A268" s="74" t="str">
        <f>IF(ISNA(INDEX($A$117:$T$186,MATCH($B268,$B$117:$B$186,0),1)),"",INDEX($A$117:$T$186,MATCH($B268,$B$117:$B$186,0),1))</f>
        <v>UMR4313</v>
      </c>
      <c r="B268" s="146" t="s">
        <v>195</v>
      </c>
      <c r="C268" s="146"/>
      <c r="D268" s="146"/>
      <c r="E268" s="146"/>
      <c r="F268" s="146"/>
      <c r="G268" s="146"/>
      <c r="H268" s="146"/>
      <c r="I268" s="146"/>
      <c r="J268" s="75">
        <f>IF(ISNA(INDEX($A$117:$T$186,MATCH($B268,$B$117:$B$186,0),10)),"",INDEX($A$117:$T$186,MATCH($B268,$B$117:$B$186,0),10))</f>
        <v>6</v>
      </c>
      <c r="K268" s="75">
        <f>IF(ISNA(INDEX($A$117:$T$186,MATCH($B268,$B$117:$B$186,0),11)),"",INDEX($A$117:$T$186,MATCH($B268,$B$117:$B$186,0),11))</f>
        <v>2</v>
      </c>
      <c r="L268" s="75">
        <f>IF(ISNA(INDEX($A$117:$T$186,MATCH($B268,$B$117:$B$186,0),12)),"",INDEX($A$117:$T$186,MATCH($B268,$B$117:$B$186,0),12))</f>
        <v>1</v>
      </c>
      <c r="M268" s="75">
        <f>IF(ISNA(INDEX($A$117:$T$186,MATCH($B268,$B$117:$B$186,0),13)),"",INDEX($A$117:$T$186,MATCH($B268,$B$117:$B$186,0),13))</f>
        <v>0</v>
      </c>
      <c r="N268" s="75">
        <f>IF(ISNA(INDEX($A$117:$T$186,MATCH($B268,$B$117:$B$186,0),14)),"",INDEX($A$117:$T$186,MATCH($B268,$B$117:$B$186,0),14))</f>
        <v>3</v>
      </c>
      <c r="O268" s="75">
        <f>IF(ISNA(INDEX($A$117:$T$186,MATCH($B268,$B$117:$B$186,0),15)),"",INDEX($A$117:$T$186,MATCH($B268,$B$117:$B$186,0),15))</f>
        <v>8</v>
      </c>
      <c r="P268" s="75">
        <f>IF(ISNA(INDEX($A$117:$T$186,MATCH($B268,$B$117:$B$186,0),16)),"",INDEX($A$117:$T$186,MATCH($B268,$B$117:$B$186,0),16))</f>
        <v>11</v>
      </c>
      <c r="Q268" s="76" t="str">
        <f>IF(ISNA(INDEX($A$117:$T$186,MATCH($B268,$B$117:$B$186,0),17)),"",INDEX($A$117:$T$186,MATCH($B268,$B$117:$B$186,0),17))</f>
        <v>E</v>
      </c>
      <c r="R268" s="76">
        <f>IF(ISNA(INDEX($A$117:$T$186,MATCH($B268,$B$117:$B$186,0),18)),"",INDEX($A$117:$T$186,MATCH($B268,$B$117:$B$186,0),18))</f>
        <v>0</v>
      </c>
      <c r="S268" s="76">
        <f>IF(ISNA(INDEX($A$117:$T$186,MATCH($B268,$B$117:$B$186,0),19)),"",INDEX($A$117:$T$186,MATCH($B268,$B$117:$B$186,0),19))</f>
        <v>0</v>
      </c>
      <c r="T268" s="76" t="str">
        <f>IF(ISNA(INDEX($A$117:$T$186,MATCH($B268,$B$117:$B$186,0),20)),"",INDEX($A$117:$T$186,MATCH($B268,$B$117:$B$186,0),20))</f>
        <v>DC</v>
      </c>
      <c r="U268" s="72" t="s">
        <v>248</v>
      </c>
      <c r="V268" s="72"/>
    </row>
    <row r="269" spans="1:26" ht="15" x14ac:dyDescent="0.25">
      <c r="A269" s="169" t="s">
        <v>76</v>
      </c>
      <c r="B269" s="169"/>
      <c r="C269" s="169"/>
      <c r="D269" s="169"/>
      <c r="E269" s="169"/>
      <c r="F269" s="169"/>
      <c r="G269" s="169"/>
      <c r="H269" s="169"/>
      <c r="I269" s="169"/>
      <c r="J269" s="10">
        <f t="shared" ref="J269:P269" si="69">SUM(J267:J268)</f>
        <v>11</v>
      </c>
      <c r="K269" s="10">
        <f t="shared" si="69"/>
        <v>4</v>
      </c>
      <c r="L269" s="10">
        <f t="shared" si="69"/>
        <v>2</v>
      </c>
      <c r="M269" s="10">
        <f t="shared" si="69"/>
        <v>0</v>
      </c>
      <c r="N269" s="10">
        <f t="shared" si="69"/>
        <v>6</v>
      </c>
      <c r="O269" s="10">
        <f t="shared" si="69"/>
        <v>14</v>
      </c>
      <c r="P269" s="10">
        <f t="shared" si="69"/>
        <v>20</v>
      </c>
      <c r="Q269" s="9">
        <f>COUNTIF(Q267:Q268,"E")</f>
        <v>2</v>
      </c>
      <c r="R269" s="9">
        <f>COUNTIF(R267:R268,"C")</f>
        <v>0</v>
      </c>
      <c r="S269" s="9">
        <f>COUNTIF(S267:S268,"VP")</f>
        <v>0</v>
      </c>
      <c r="T269" s="33">
        <f>COUNTA(T267:T268)</f>
        <v>2</v>
      </c>
      <c r="U269"/>
      <c r="V269"/>
      <c r="W269"/>
      <c r="X269"/>
      <c r="Y269"/>
      <c r="Z269"/>
    </row>
    <row r="270" spans="1:26" ht="15" x14ac:dyDescent="0.25">
      <c r="A270" s="275" t="s">
        <v>43</v>
      </c>
      <c r="B270" s="276"/>
      <c r="C270" s="276"/>
      <c r="D270" s="276"/>
      <c r="E270" s="276"/>
      <c r="F270" s="276"/>
      <c r="G270" s="276"/>
      <c r="H270" s="276"/>
      <c r="I270" s="276"/>
      <c r="J270" s="277"/>
      <c r="K270" s="10">
        <f>K269*14</f>
        <v>56</v>
      </c>
      <c r="L270" s="10">
        <f t="shared" ref="L270:P270" si="70">L269*14</f>
        <v>28</v>
      </c>
      <c r="M270" s="10">
        <f t="shared" si="70"/>
        <v>0</v>
      </c>
      <c r="N270" s="10">
        <f t="shared" si="70"/>
        <v>84</v>
      </c>
      <c r="O270" s="10">
        <f t="shared" si="70"/>
        <v>196</v>
      </c>
      <c r="P270" s="10">
        <f t="shared" si="70"/>
        <v>280</v>
      </c>
      <c r="Q270" s="291"/>
      <c r="R270" s="292"/>
      <c r="S270" s="292"/>
      <c r="T270" s="293"/>
      <c r="U270"/>
      <c r="V270"/>
      <c r="W270"/>
      <c r="X270"/>
      <c r="Y270"/>
      <c r="Z270"/>
    </row>
    <row r="271" spans="1:26" ht="12.75" customHeight="1" x14ac:dyDescent="0.25">
      <c r="A271" s="278"/>
      <c r="B271" s="279"/>
      <c r="C271" s="279"/>
      <c r="D271" s="279"/>
      <c r="E271" s="279"/>
      <c r="F271" s="279"/>
      <c r="G271" s="279"/>
      <c r="H271" s="279"/>
      <c r="I271" s="279"/>
      <c r="J271" s="280"/>
      <c r="K271" s="257">
        <f>SUM(K270:M270)</f>
        <v>84</v>
      </c>
      <c r="L271" s="258"/>
      <c r="M271" s="259"/>
      <c r="N271" s="257">
        <f>SUM(N270:O270)</f>
        <v>280</v>
      </c>
      <c r="O271" s="258"/>
      <c r="P271" s="259"/>
      <c r="Q271" s="294"/>
      <c r="R271" s="295"/>
      <c r="S271" s="295"/>
      <c r="T271" s="296"/>
      <c r="U271"/>
      <c r="V271"/>
      <c r="W271"/>
      <c r="X271"/>
      <c r="Y271"/>
      <c r="Z271"/>
    </row>
    <row r="272" spans="1:26" ht="12.75" customHeight="1" x14ac:dyDescent="0.25">
      <c r="A272" s="199" t="s">
        <v>62</v>
      </c>
      <c r="B272" s="208"/>
      <c r="C272" s="208"/>
      <c r="D272" s="208"/>
      <c r="E272" s="208"/>
      <c r="F272" s="208"/>
      <c r="G272" s="208"/>
      <c r="H272" s="208"/>
      <c r="I272" s="208"/>
      <c r="J272" s="200"/>
      <c r="K272" s="209">
        <f>T269/SUM(T128,T141,T153,T165)</f>
        <v>9.0909090909090912E-2</v>
      </c>
      <c r="L272" s="210"/>
      <c r="M272" s="210"/>
      <c r="N272" s="210"/>
      <c r="O272" s="210"/>
      <c r="P272" s="210"/>
      <c r="Q272" s="210"/>
      <c r="R272" s="210"/>
      <c r="S272" s="210"/>
      <c r="T272" s="211"/>
      <c r="U272"/>
      <c r="V272"/>
      <c r="W272"/>
      <c r="X272"/>
      <c r="Y272"/>
      <c r="Z272"/>
    </row>
    <row r="273" spans="1:26" ht="12.75" customHeight="1" x14ac:dyDescent="0.25">
      <c r="A273" s="212" t="s">
        <v>63</v>
      </c>
      <c r="B273" s="212"/>
      <c r="C273" s="212"/>
      <c r="D273" s="212"/>
      <c r="E273" s="212"/>
      <c r="F273" s="212"/>
      <c r="G273" s="212"/>
      <c r="H273" s="212"/>
      <c r="I273" s="212"/>
      <c r="J273" s="212"/>
      <c r="K273" s="209">
        <f>K271/(SUM(N128,N141,N153)*14+N165*12)</f>
        <v>9.2105263157894732E-2</v>
      </c>
      <c r="L273" s="210"/>
      <c r="M273" s="210"/>
      <c r="N273" s="210"/>
      <c r="O273" s="210"/>
      <c r="P273" s="210"/>
      <c r="Q273" s="210"/>
      <c r="R273" s="210"/>
      <c r="S273" s="210"/>
      <c r="T273" s="211"/>
      <c r="U273"/>
      <c r="V273"/>
      <c r="W273"/>
      <c r="X273"/>
      <c r="Y273"/>
      <c r="Z273"/>
    </row>
    <row r="274" spans="1:26" ht="12.75" customHeight="1" x14ac:dyDescent="0.25">
      <c r="U274"/>
      <c r="V274"/>
      <c r="W274"/>
      <c r="X274"/>
      <c r="Y274"/>
      <c r="Z274"/>
    </row>
    <row r="275" spans="1:26" ht="12.75" customHeight="1" x14ac:dyDescent="0.25">
      <c r="U275"/>
      <c r="V275"/>
      <c r="W275"/>
      <c r="X275"/>
      <c r="Y275"/>
      <c r="Z275"/>
    </row>
    <row r="276" spans="1:26" ht="12.75" customHeight="1" x14ac:dyDescent="0.25">
      <c r="U276"/>
      <c r="V276"/>
      <c r="W276"/>
      <c r="X276"/>
      <c r="Y276"/>
      <c r="Z276"/>
    </row>
    <row r="278" spans="1:26" ht="12.75" customHeight="1" x14ac:dyDescent="0.2">
      <c r="A278" s="284" t="s">
        <v>57</v>
      </c>
      <c r="B278" s="284"/>
      <c r="C278" s="284"/>
      <c r="D278" s="284"/>
      <c r="E278" s="284"/>
      <c r="F278" s="284"/>
      <c r="G278" s="284"/>
      <c r="H278" s="284"/>
      <c r="I278" s="284"/>
      <c r="J278" s="284"/>
      <c r="K278" s="284"/>
      <c r="L278" s="284"/>
      <c r="M278" s="284"/>
      <c r="N278" s="284"/>
      <c r="O278" s="284"/>
      <c r="P278" s="284"/>
      <c r="Q278" s="284"/>
      <c r="R278" s="284"/>
      <c r="S278" s="284"/>
      <c r="T278" s="284"/>
    </row>
    <row r="279" spans="1:26" ht="12.75" customHeight="1" x14ac:dyDescent="0.2">
      <c r="A279" s="343" t="s">
        <v>24</v>
      </c>
      <c r="B279" s="170" t="s">
        <v>49</v>
      </c>
      <c r="C279" s="171"/>
      <c r="D279" s="171"/>
      <c r="E279" s="171"/>
      <c r="F279" s="171"/>
      <c r="G279" s="172"/>
      <c r="H279" s="170" t="s">
        <v>52</v>
      </c>
      <c r="I279" s="172"/>
      <c r="J279" s="260" t="s">
        <v>53</v>
      </c>
      <c r="K279" s="283"/>
      <c r="L279" s="283"/>
      <c r="M279" s="283"/>
      <c r="N279" s="283"/>
      <c r="O279" s="261"/>
      <c r="P279" s="170" t="s">
        <v>42</v>
      </c>
      <c r="Q279" s="172"/>
      <c r="R279" s="177" t="s">
        <v>54</v>
      </c>
      <c r="S279" s="177"/>
      <c r="T279" s="177"/>
    </row>
    <row r="280" spans="1:26" x14ac:dyDescent="0.2">
      <c r="A280" s="344"/>
      <c r="B280" s="173"/>
      <c r="C280" s="174"/>
      <c r="D280" s="174"/>
      <c r="E280" s="174"/>
      <c r="F280" s="174"/>
      <c r="G280" s="175"/>
      <c r="H280" s="173"/>
      <c r="I280" s="175"/>
      <c r="J280" s="260" t="s">
        <v>31</v>
      </c>
      <c r="K280" s="261"/>
      <c r="L280" s="260" t="s">
        <v>5</v>
      </c>
      <c r="M280" s="261"/>
      <c r="N280" s="260" t="s">
        <v>28</v>
      </c>
      <c r="O280" s="261"/>
      <c r="P280" s="173"/>
      <c r="Q280" s="175"/>
      <c r="R280" s="260" t="s">
        <v>55</v>
      </c>
      <c r="S280" s="261"/>
      <c r="T280" s="15" t="s">
        <v>56</v>
      </c>
    </row>
    <row r="281" spans="1:26" ht="12.75" customHeight="1" x14ac:dyDescent="0.2">
      <c r="A281" s="15">
        <v>1</v>
      </c>
      <c r="B281" s="260" t="s">
        <v>50</v>
      </c>
      <c r="C281" s="283"/>
      <c r="D281" s="283"/>
      <c r="E281" s="283"/>
      <c r="F281" s="283"/>
      <c r="G281" s="261"/>
      <c r="H281" s="289">
        <f>J281</f>
        <v>856</v>
      </c>
      <c r="I281" s="290"/>
      <c r="J281" s="287">
        <f>(SUM(N128+N141+N153)*14+N165*12)-J282</f>
        <v>856</v>
      </c>
      <c r="K281" s="288"/>
      <c r="L281" s="287">
        <f>(SUM(O128+O141+O153)*14+O165*12)-L282</f>
        <v>2040</v>
      </c>
      <c r="M281" s="288"/>
      <c r="N281" s="287">
        <f>(SUM(P128+P141+P153)*14+P165*12)-N282</f>
        <v>2896</v>
      </c>
      <c r="O281" s="288"/>
      <c r="P281" s="285">
        <f>H281/H283</f>
        <v>0.93859649122807021</v>
      </c>
      <c r="Q281" s="286"/>
      <c r="R281" s="287">
        <f>J128+J141-R282</f>
        <v>57</v>
      </c>
      <c r="S281" s="288"/>
      <c r="T281" s="7">
        <f>J153+J165-T282</f>
        <v>57</v>
      </c>
    </row>
    <row r="282" spans="1:26" ht="12.75" customHeight="1" x14ac:dyDescent="0.2">
      <c r="A282" s="15">
        <v>2</v>
      </c>
      <c r="B282" s="260" t="s">
        <v>51</v>
      </c>
      <c r="C282" s="283"/>
      <c r="D282" s="283"/>
      <c r="E282" s="283"/>
      <c r="F282" s="283"/>
      <c r="G282" s="261"/>
      <c r="H282" s="289">
        <f>J282</f>
        <v>56</v>
      </c>
      <c r="I282" s="290"/>
      <c r="J282" s="281">
        <f>N181</f>
        <v>56</v>
      </c>
      <c r="K282" s="282"/>
      <c r="L282" s="281">
        <f>O181</f>
        <v>84</v>
      </c>
      <c r="M282" s="282"/>
      <c r="N282" s="345">
        <f>SUM(J282:M282)</f>
        <v>140</v>
      </c>
      <c r="O282" s="346"/>
      <c r="P282" s="285">
        <f>H282/H283</f>
        <v>6.1403508771929821E-2</v>
      </c>
      <c r="Q282" s="286"/>
      <c r="R282" s="340">
        <v>3</v>
      </c>
      <c r="S282" s="341"/>
      <c r="T282" s="6">
        <v>3</v>
      </c>
      <c r="U282" s="342" t="str">
        <f>IF(N282=P181,"Corect","Nu corespunde cu tabelul de opționale")</f>
        <v>Corect</v>
      </c>
      <c r="V282" s="342"/>
      <c r="W282" s="342"/>
      <c r="X282" s="342"/>
    </row>
    <row r="283" spans="1:26" x14ac:dyDescent="0.2">
      <c r="A283" s="260" t="s">
        <v>22</v>
      </c>
      <c r="B283" s="283"/>
      <c r="C283" s="283"/>
      <c r="D283" s="283"/>
      <c r="E283" s="283"/>
      <c r="F283" s="283"/>
      <c r="G283" s="261"/>
      <c r="H283" s="260">
        <f>SUM(H281:I282)</f>
        <v>912</v>
      </c>
      <c r="I283" s="261"/>
      <c r="J283" s="260">
        <f>SUM(J281:K282)</f>
        <v>912</v>
      </c>
      <c r="K283" s="261"/>
      <c r="L283" s="138">
        <f>SUM(L281:M282)</f>
        <v>2124</v>
      </c>
      <c r="M283" s="140"/>
      <c r="N283" s="138">
        <f>SUM(N281:O282)</f>
        <v>3036</v>
      </c>
      <c r="O283" s="140"/>
      <c r="P283" s="253">
        <f>SUM(P281:Q282)</f>
        <v>1</v>
      </c>
      <c r="Q283" s="254"/>
      <c r="R283" s="138">
        <f>SUM(R281:S282)</f>
        <v>60</v>
      </c>
      <c r="S283" s="140"/>
      <c r="T283" s="9">
        <f>SUM(T281:T282)</f>
        <v>60</v>
      </c>
    </row>
    <row r="284" spans="1:26" x14ac:dyDescent="0.2">
      <c r="A284" s="28"/>
      <c r="B284" s="28"/>
      <c r="C284" s="28"/>
      <c r="D284" s="28"/>
      <c r="E284" s="28"/>
      <c r="F284" s="28"/>
      <c r="G284" s="28"/>
      <c r="H284" s="28"/>
      <c r="I284" s="28"/>
      <c r="J284" s="28"/>
      <c r="K284" s="28"/>
      <c r="L284" s="20"/>
      <c r="M284" s="20"/>
      <c r="N284" s="20"/>
      <c r="O284" s="20"/>
      <c r="P284" s="29"/>
      <c r="Q284" s="29"/>
      <c r="R284" s="20"/>
      <c r="S284" s="20"/>
      <c r="T284" s="20"/>
    </row>
    <row r="285" spans="1:26" x14ac:dyDescent="0.2">
      <c r="A285" s="28"/>
      <c r="B285" s="28"/>
      <c r="C285" s="28"/>
      <c r="D285" s="28"/>
      <c r="E285" s="28"/>
      <c r="F285" s="28"/>
      <c r="G285" s="28"/>
      <c r="H285" s="28"/>
      <c r="I285" s="28"/>
      <c r="J285" s="28"/>
      <c r="K285" s="28"/>
      <c r="L285" s="20"/>
      <c r="M285" s="20"/>
      <c r="N285" s="20"/>
      <c r="O285" s="20"/>
      <c r="P285" s="29"/>
      <c r="Q285" s="29"/>
      <c r="R285" s="20"/>
      <c r="S285" s="20"/>
      <c r="T285" s="20"/>
    </row>
    <row r="286" spans="1:26" x14ac:dyDescent="0.2">
      <c r="A286" s="28"/>
      <c r="B286" s="28"/>
      <c r="C286" s="28"/>
      <c r="D286" s="28"/>
      <c r="E286" s="28"/>
      <c r="F286" s="28"/>
      <c r="G286" s="28"/>
      <c r="H286" s="28"/>
      <c r="I286" s="28"/>
      <c r="J286" s="28"/>
      <c r="K286" s="28"/>
      <c r="L286" s="20"/>
      <c r="M286" s="20"/>
      <c r="N286" s="20"/>
      <c r="O286" s="20"/>
      <c r="P286" s="29"/>
      <c r="Q286" s="29"/>
      <c r="R286" s="20"/>
      <c r="S286" s="20"/>
      <c r="T286" s="20"/>
    </row>
    <row r="287" spans="1:26" ht="12.75" customHeight="1" x14ac:dyDescent="0.2">
      <c r="A287" s="160" t="s">
        <v>86</v>
      </c>
      <c r="B287" s="160"/>
      <c r="C287" s="160"/>
      <c r="D287" s="160"/>
      <c r="E287" s="160"/>
      <c r="F287" s="160"/>
      <c r="G287" s="160"/>
      <c r="H287" s="160"/>
      <c r="I287" s="160"/>
      <c r="J287" s="160"/>
      <c r="K287" s="160"/>
      <c r="L287" s="160"/>
      <c r="M287" s="160"/>
      <c r="N287" s="160"/>
      <c r="O287" s="160"/>
      <c r="P287" s="160"/>
      <c r="Q287" s="160"/>
      <c r="R287" s="160"/>
      <c r="S287" s="160"/>
      <c r="T287" s="160"/>
      <c r="U287" s="77"/>
    </row>
    <row r="288" spans="1:26" ht="12.75" customHeight="1" x14ac:dyDescent="0.2">
      <c r="A288" s="170" t="s">
        <v>91</v>
      </c>
      <c r="B288" s="171"/>
      <c r="C288" s="171"/>
      <c r="D288" s="171"/>
      <c r="E288" s="171"/>
      <c r="F288" s="171"/>
      <c r="G288" s="171"/>
      <c r="H288" s="172"/>
      <c r="I288" s="170" t="s">
        <v>144</v>
      </c>
      <c r="J288" s="172"/>
      <c r="K288" s="170" t="s">
        <v>145</v>
      </c>
      <c r="L288" s="171"/>
      <c r="M288" s="171"/>
      <c r="N288" s="172"/>
      <c r="O288" s="170" t="s">
        <v>143</v>
      </c>
      <c r="P288" s="171"/>
      <c r="Q288" s="172"/>
      <c r="R288" s="170" t="s">
        <v>146</v>
      </c>
      <c r="S288" s="171"/>
      <c r="T288" s="172"/>
    </row>
    <row r="289" spans="1:30" ht="12.75" customHeight="1" x14ac:dyDescent="0.2">
      <c r="A289" s="173"/>
      <c r="B289" s="174"/>
      <c r="C289" s="174"/>
      <c r="D289" s="174"/>
      <c r="E289" s="174"/>
      <c r="F289" s="174"/>
      <c r="G289" s="174"/>
      <c r="H289" s="175"/>
      <c r="I289" s="173"/>
      <c r="J289" s="175"/>
      <c r="K289" s="173"/>
      <c r="L289" s="174"/>
      <c r="M289" s="174"/>
      <c r="N289" s="175"/>
      <c r="O289" s="173"/>
      <c r="P289" s="174"/>
      <c r="Q289" s="175"/>
      <c r="R289" s="173"/>
      <c r="S289" s="174"/>
      <c r="T289" s="175"/>
    </row>
    <row r="290" spans="1:30" ht="12.75" customHeight="1" x14ac:dyDescent="0.2">
      <c r="A290" s="154" t="s">
        <v>89</v>
      </c>
      <c r="B290" s="155"/>
      <c r="C290" s="155"/>
      <c r="D290" s="155"/>
      <c r="E290" s="155"/>
      <c r="F290" s="155"/>
      <c r="G290" s="156"/>
      <c r="H290" s="15" t="s">
        <v>87</v>
      </c>
      <c r="I290" s="164">
        <f>K229</f>
        <v>288</v>
      </c>
      <c r="J290" s="165"/>
      <c r="K290" s="313">
        <f>K231</f>
        <v>0.31578947368421051</v>
      </c>
      <c r="L290" s="313"/>
      <c r="M290" s="313"/>
      <c r="N290" s="313"/>
      <c r="O290" s="161">
        <f>N229</f>
        <v>1100</v>
      </c>
      <c r="P290" s="162"/>
      <c r="Q290" s="162"/>
      <c r="R290" s="157">
        <f>O290/O293</f>
        <v>0.36231884057971014</v>
      </c>
      <c r="S290" s="158"/>
      <c r="T290" s="159"/>
      <c r="U290" s="307" t="str">
        <f>IF(J283=I293,"Corect","Bilanțul general nu corespunde cu Bilanțul pe tipuri de discipline")</f>
        <v>Corect</v>
      </c>
      <c r="V290" s="308"/>
      <c r="W290" s="308"/>
      <c r="X290" s="308"/>
      <c r="Y290" s="308"/>
    </row>
    <row r="291" spans="1:30" ht="12.75" customHeight="1" x14ac:dyDescent="0.2">
      <c r="A291" s="154" t="s">
        <v>90</v>
      </c>
      <c r="B291" s="155"/>
      <c r="C291" s="155"/>
      <c r="D291" s="155"/>
      <c r="E291" s="155"/>
      <c r="F291" s="155"/>
      <c r="G291" s="156"/>
      <c r="H291" s="15" t="s">
        <v>88</v>
      </c>
      <c r="I291" s="164">
        <f>K257</f>
        <v>540</v>
      </c>
      <c r="J291" s="165"/>
      <c r="K291" s="313">
        <f>K259</f>
        <v>0.59210526315789469</v>
      </c>
      <c r="L291" s="313"/>
      <c r="M291" s="313"/>
      <c r="N291" s="313"/>
      <c r="O291" s="161">
        <f>N257</f>
        <v>1656</v>
      </c>
      <c r="P291" s="162"/>
      <c r="Q291" s="162"/>
      <c r="R291" s="157">
        <f>O291/O293</f>
        <v>0.54545454545454541</v>
      </c>
      <c r="S291" s="158"/>
      <c r="T291" s="159"/>
    </row>
    <row r="292" spans="1:30" ht="12.75" customHeight="1" x14ac:dyDescent="0.2">
      <c r="A292" s="154" t="s">
        <v>152</v>
      </c>
      <c r="B292" s="155"/>
      <c r="C292" s="155"/>
      <c r="D292" s="155"/>
      <c r="E292" s="155"/>
      <c r="F292" s="155"/>
      <c r="G292" s="156"/>
      <c r="H292" s="15" t="s">
        <v>34</v>
      </c>
      <c r="I292" s="164">
        <f>K271</f>
        <v>84</v>
      </c>
      <c r="J292" s="165"/>
      <c r="K292" s="313">
        <f>K273</f>
        <v>9.2105263157894732E-2</v>
      </c>
      <c r="L292" s="313"/>
      <c r="M292" s="313"/>
      <c r="N292" s="313"/>
      <c r="O292" s="161">
        <f>N271</f>
        <v>280</v>
      </c>
      <c r="P292" s="162"/>
      <c r="Q292" s="162"/>
      <c r="R292" s="157">
        <f>O292/O293</f>
        <v>9.22266139657444E-2</v>
      </c>
      <c r="S292" s="158"/>
      <c r="T292" s="159"/>
      <c r="U292" s="307" t="str">
        <f>IF(N283=O293,"Corect","Bilanțul general nu corespunde cu Bilanțul pe tipuri de discipline")</f>
        <v>Corect</v>
      </c>
      <c r="V292" s="308"/>
      <c r="W292" s="308"/>
      <c r="X292" s="308"/>
      <c r="Y292" s="308"/>
    </row>
    <row r="293" spans="1:30" x14ac:dyDescent="0.2">
      <c r="A293" s="177" t="s">
        <v>22</v>
      </c>
      <c r="B293" s="177"/>
      <c r="C293" s="177"/>
      <c r="D293" s="177"/>
      <c r="E293" s="177"/>
      <c r="F293" s="177"/>
      <c r="G293" s="177"/>
      <c r="H293" s="177"/>
      <c r="I293" s="311">
        <f>SUM(I290:J292)</f>
        <v>912</v>
      </c>
      <c r="J293" s="312"/>
      <c r="K293" s="163">
        <f>SUM(K290:N292)</f>
        <v>0.99999999999999989</v>
      </c>
      <c r="L293" s="163"/>
      <c r="M293" s="163"/>
      <c r="N293" s="163"/>
      <c r="O293" s="151">
        <f>SUM(O290:Q292)</f>
        <v>3036</v>
      </c>
      <c r="P293" s="314"/>
      <c r="Q293" s="314"/>
      <c r="R293" s="163">
        <f>SUM(R290:T292)</f>
        <v>1</v>
      </c>
      <c r="S293" s="163"/>
      <c r="T293" s="163"/>
    </row>
    <row r="294" spans="1:30" x14ac:dyDescent="0.2">
      <c r="A294" s="28"/>
      <c r="B294" s="28"/>
      <c r="C294" s="28"/>
      <c r="D294" s="28"/>
      <c r="E294" s="28"/>
      <c r="F294" s="28"/>
      <c r="G294" s="28"/>
      <c r="H294" s="28"/>
      <c r="I294" s="28"/>
      <c r="J294" s="28"/>
      <c r="K294" s="28"/>
      <c r="L294" s="20"/>
      <c r="M294" s="20"/>
      <c r="N294" s="20"/>
      <c r="O294" s="20"/>
      <c r="P294" s="29"/>
      <c r="Q294" s="29"/>
      <c r="R294" s="20"/>
      <c r="S294" s="20"/>
      <c r="T294" s="20"/>
    </row>
    <row r="295" spans="1:30" x14ac:dyDescent="0.2">
      <c r="A295" s="28"/>
      <c r="B295" s="28"/>
      <c r="C295" s="28"/>
      <c r="D295" s="28"/>
      <c r="E295" s="28"/>
      <c r="F295" s="28"/>
      <c r="G295" s="28"/>
      <c r="H295" s="28"/>
      <c r="I295" s="28"/>
      <c r="J295" s="28"/>
      <c r="K295" s="28"/>
      <c r="L295" s="20"/>
      <c r="M295" s="20"/>
      <c r="N295" s="20"/>
      <c r="O295" s="20"/>
      <c r="P295" s="29"/>
      <c r="Q295" s="29"/>
      <c r="R295" s="20"/>
      <c r="S295" s="20"/>
      <c r="T295" s="20"/>
      <c r="U295" s="69" t="s">
        <v>252</v>
      </c>
      <c r="V295" s="69"/>
    </row>
    <row r="296" spans="1:30" x14ac:dyDescent="0.2">
      <c r="A296" s="28"/>
      <c r="B296" s="28"/>
      <c r="C296" s="28"/>
      <c r="D296" s="28"/>
      <c r="E296" s="28"/>
      <c r="F296" s="28"/>
      <c r="G296" s="28"/>
      <c r="H296" s="28"/>
      <c r="I296" s="28"/>
      <c r="J296" s="28"/>
      <c r="K296" s="28"/>
      <c r="L296" s="20"/>
      <c r="M296" s="20"/>
      <c r="N296" s="20"/>
      <c r="O296" s="20"/>
      <c r="P296" s="29"/>
      <c r="Q296" s="29"/>
      <c r="R296" s="20"/>
      <c r="S296" s="20"/>
      <c r="T296" s="20"/>
    </row>
    <row r="297" spans="1:30" ht="12.75" customHeight="1" x14ac:dyDescent="0.2">
      <c r="A297" s="279" t="s">
        <v>155</v>
      </c>
      <c r="B297" s="279"/>
      <c r="C297" s="279"/>
      <c r="D297" s="279"/>
      <c r="E297" s="279"/>
      <c r="F297" s="279"/>
      <c r="G297" s="279"/>
      <c r="H297" s="279"/>
      <c r="I297" s="279"/>
      <c r="J297" s="279"/>
      <c r="K297" s="279"/>
      <c r="L297" s="279"/>
      <c r="M297" s="279"/>
      <c r="N297" s="279"/>
      <c r="O297" s="29"/>
      <c r="P297" s="29"/>
      <c r="Q297" s="29"/>
      <c r="R297" s="20"/>
      <c r="S297" s="20"/>
      <c r="T297" s="20"/>
    </row>
    <row r="298" spans="1:30" ht="12.75" customHeight="1" x14ac:dyDescent="0.2">
      <c r="A298" s="305" t="s">
        <v>147</v>
      </c>
      <c r="B298" s="305"/>
      <c r="C298" s="305"/>
      <c r="D298" s="305"/>
      <c r="E298" s="305"/>
      <c r="F298" s="305"/>
      <c r="G298" s="305"/>
      <c r="H298" s="305"/>
      <c r="I298" s="305"/>
      <c r="J298" s="305"/>
      <c r="K298" s="305"/>
      <c r="L298" s="305"/>
      <c r="M298" s="378">
        <f>SUM(L243,L247)*14+L252*12</f>
        <v>160</v>
      </c>
      <c r="N298" s="378"/>
      <c r="O298" s="29"/>
      <c r="P298" s="29"/>
      <c r="Q298" s="29"/>
      <c r="R298" s="20"/>
      <c r="S298" s="20"/>
      <c r="T298" s="20"/>
      <c r="U298" s="315" t="s">
        <v>105</v>
      </c>
      <c r="V298" s="316"/>
      <c r="W298" s="316"/>
      <c r="X298" s="316"/>
      <c r="Y298" s="316"/>
      <c r="Z298" s="316"/>
      <c r="AA298" s="317"/>
    </row>
    <row r="299" spans="1:30" ht="12.75" customHeight="1" x14ac:dyDescent="0.2">
      <c r="A299" s="302" t="s">
        <v>135</v>
      </c>
      <c r="B299" s="303"/>
      <c r="C299" s="303"/>
      <c r="D299" s="303"/>
      <c r="E299" s="303"/>
      <c r="F299" s="303"/>
      <c r="G299" s="303"/>
      <c r="H299" s="303"/>
      <c r="I299" s="303"/>
      <c r="J299" s="303"/>
      <c r="K299" s="303"/>
      <c r="L299" s="304"/>
      <c r="M299" s="378">
        <v>0</v>
      </c>
      <c r="N299" s="378"/>
      <c r="O299" s="20"/>
      <c r="P299" s="20"/>
      <c r="Q299" s="29"/>
      <c r="R299" s="20"/>
      <c r="S299" s="20"/>
      <c r="T299" s="20"/>
      <c r="U299" s="318"/>
      <c r="V299" s="319"/>
      <c r="W299" s="319"/>
      <c r="X299" s="319"/>
      <c r="Y299" s="319"/>
      <c r="Z299" s="319"/>
      <c r="AA299" s="320"/>
    </row>
    <row r="300" spans="1:30" ht="12.75" customHeight="1" x14ac:dyDescent="0.2">
      <c r="A300" s="306" t="s">
        <v>92</v>
      </c>
      <c r="B300" s="306"/>
      <c r="C300" s="306"/>
      <c r="D300" s="306"/>
      <c r="E300" s="306"/>
      <c r="F300" s="306"/>
      <c r="G300" s="306"/>
      <c r="H300" s="306"/>
      <c r="I300" s="306"/>
      <c r="J300" s="306"/>
      <c r="K300" s="306"/>
      <c r="L300" s="306"/>
      <c r="M300" s="176">
        <f>M298+M299</f>
        <v>160</v>
      </c>
      <c r="N300" s="176"/>
      <c r="O300" s="20"/>
      <c r="P300" s="20"/>
      <c r="Q300" s="29"/>
      <c r="R300" s="20"/>
      <c r="S300" s="20"/>
      <c r="T300" s="20"/>
      <c r="U300" s="321" t="s">
        <v>101</v>
      </c>
      <c r="V300" s="322"/>
      <c r="W300" s="321" t="s">
        <v>102</v>
      </c>
      <c r="X300" s="322"/>
      <c r="Y300" s="325" t="s">
        <v>103</v>
      </c>
      <c r="Z300" s="325"/>
      <c r="AA300" s="325"/>
    </row>
    <row r="301" spans="1:30" ht="12.75" customHeight="1" x14ac:dyDescent="0.2">
      <c r="A301" s="28"/>
      <c r="B301" s="28"/>
      <c r="C301" s="28"/>
      <c r="D301" s="28"/>
      <c r="E301" s="28"/>
      <c r="F301" s="28"/>
      <c r="G301" s="28"/>
      <c r="H301" s="28"/>
      <c r="I301" s="28"/>
      <c r="J301" s="28"/>
      <c r="K301" s="28"/>
      <c r="L301" s="20"/>
      <c r="M301" s="20"/>
      <c r="N301" s="20"/>
      <c r="O301" s="20"/>
      <c r="P301" s="20"/>
      <c r="Q301" s="29"/>
      <c r="R301" s="20"/>
      <c r="S301" s="20"/>
      <c r="T301" s="20"/>
      <c r="U301" s="323"/>
      <c r="V301" s="324"/>
      <c r="W301" s="323"/>
      <c r="X301" s="324"/>
      <c r="Y301" s="325"/>
      <c r="Z301" s="325"/>
      <c r="AA301" s="325"/>
    </row>
    <row r="302" spans="1:30" ht="12.75" customHeight="1" x14ac:dyDescent="0.2">
      <c r="A302" s="28"/>
      <c r="B302" s="28"/>
      <c r="C302" s="28"/>
      <c r="D302" s="28"/>
      <c r="E302" s="28"/>
      <c r="F302" s="28"/>
      <c r="G302" s="28"/>
      <c r="H302" s="28"/>
      <c r="I302" s="28"/>
      <c r="J302" s="28"/>
      <c r="K302" s="28"/>
      <c r="L302" s="20"/>
      <c r="M302" s="20"/>
      <c r="N302" s="20"/>
      <c r="O302" s="20"/>
      <c r="P302" s="29"/>
      <c r="Q302" s="29"/>
      <c r="R302" s="20"/>
      <c r="S302" s="20"/>
      <c r="T302" s="20"/>
      <c r="U302" s="331">
        <f>K230+K258+K272</f>
        <v>1</v>
      </c>
      <c r="V302" s="332"/>
      <c r="W302" s="331" t="e">
        <f>#REF!+#REF!+K272</f>
        <v>#REF!</v>
      </c>
      <c r="X302" s="332"/>
      <c r="Y302" s="333"/>
      <c r="Z302" s="333"/>
      <c r="AA302" s="333"/>
      <c r="AB302" s="326" t="s">
        <v>64</v>
      </c>
      <c r="AC302" s="326"/>
      <c r="AD302" s="326"/>
    </row>
    <row r="303" spans="1:30" ht="12.75" customHeight="1" x14ac:dyDescent="0.2">
      <c r="A303" s="28"/>
      <c r="B303" s="28"/>
      <c r="C303" s="28"/>
      <c r="D303" s="28"/>
      <c r="E303" s="28"/>
      <c r="F303" s="28"/>
      <c r="G303" s="28"/>
      <c r="H303" s="28"/>
      <c r="I303" s="28"/>
      <c r="J303" s="28"/>
      <c r="K303" s="28"/>
      <c r="L303" s="20"/>
      <c r="M303" s="20"/>
      <c r="N303" s="20"/>
      <c r="O303" s="20"/>
      <c r="P303" s="29"/>
      <c r="Q303" s="29"/>
      <c r="R303" s="20"/>
      <c r="S303" s="20"/>
      <c r="T303" s="20"/>
      <c r="U303" s="331">
        <f>K231+K259+K273</f>
        <v>0.99999999999999989</v>
      </c>
      <c r="V303" s="332"/>
      <c r="W303" s="331" t="e">
        <f>#REF!+#REF!+K273</f>
        <v>#REF!</v>
      </c>
      <c r="X303" s="332"/>
      <c r="Y303" s="331"/>
      <c r="Z303" s="334"/>
      <c r="AA303" s="332"/>
      <c r="AB303" s="326" t="s">
        <v>65</v>
      </c>
      <c r="AC303" s="326"/>
      <c r="AD303" s="326"/>
    </row>
    <row r="304" spans="1:30" ht="12.75" customHeight="1" x14ac:dyDescent="0.2">
      <c r="A304" s="28"/>
      <c r="B304" s="28"/>
      <c r="C304" s="28"/>
      <c r="D304" s="28"/>
      <c r="E304" s="28"/>
      <c r="F304" s="28"/>
      <c r="G304" s="28"/>
      <c r="H304" s="28"/>
      <c r="I304" s="28"/>
      <c r="J304" s="28"/>
      <c r="K304" s="28"/>
      <c r="L304" s="20"/>
      <c r="M304" s="20"/>
      <c r="N304" s="20"/>
      <c r="O304" s="20"/>
      <c r="P304" s="29"/>
      <c r="Q304" s="29"/>
      <c r="R304" s="20"/>
      <c r="S304" s="20"/>
      <c r="T304" s="20"/>
      <c r="U304" s="197" t="str">
        <f>IF(U302=100%,"Corect",IF(U302&gt;100%,"Ați dublat unele discipline","Ați pierdut unele discipline"))</f>
        <v>Corect</v>
      </c>
      <c r="V304" s="198"/>
      <c r="W304" s="197" t="e">
        <f>IF(W302=100%,"Corect",IF(W302&gt;100%,"Ați dublat unele discipline","Ați pierdut unele discipline"))</f>
        <v>#REF!</v>
      </c>
      <c r="X304" s="198"/>
      <c r="Y304" s="327" t="str">
        <f>IF(Y302=100%,"Corect",IF(Y302&gt;100%,"Ați dublat unele discipline","Ați pierdut unele discipline"))</f>
        <v>Ați pierdut unele discipline</v>
      </c>
      <c r="Z304" s="327"/>
      <c r="AA304" s="327"/>
    </row>
    <row r="305" spans="1:27" x14ac:dyDescent="0.2">
      <c r="A305" s="28"/>
      <c r="B305" s="28"/>
      <c r="C305" s="28"/>
      <c r="D305" s="28"/>
      <c r="E305" s="28"/>
      <c r="F305" s="28"/>
      <c r="G305" s="28"/>
      <c r="H305" s="28"/>
      <c r="I305" s="28"/>
      <c r="J305" s="28"/>
      <c r="K305" s="28"/>
      <c r="L305" s="20"/>
      <c r="M305" s="20"/>
      <c r="N305" s="20"/>
      <c r="O305" s="20"/>
      <c r="P305" s="29"/>
      <c r="Q305" s="29"/>
      <c r="R305" s="20"/>
      <c r="S305" s="20"/>
      <c r="T305" s="20"/>
      <c r="U305" s="328" t="str">
        <f>IF(U303=100%,"Corect",IF(U303&gt;100%,"Ați dublat unele discipline","Ați pierdut unele discipline"))</f>
        <v>Corect</v>
      </c>
      <c r="V305" s="329"/>
      <c r="W305" s="328" t="e">
        <f>IF(W303=100%,"Corect",IF(W303&gt;100%,"Ați dublat unele discipline","Ați pierdut unele discipline"))</f>
        <v>#REF!</v>
      </c>
      <c r="X305" s="329"/>
      <c r="Y305" s="327" t="str">
        <f>IF(Y303=100%,"Corect",IF(Y303&gt;100%,"Ați dublat unele discipline","Ați pierdut unele discipline"))</f>
        <v>Ați pierdut unele discipline</v>
      </c>
      <c r="Z305" s="327"/>
      <c r="AA305" s="327"/>
    </row>
    <row r="306" spans="1:27" x14ac:dyDescent="0.2">
      <c r="A306" s="28"/>
      <c r="B306" s="28"/>
      <c r="C306" s="28"/>
      <c r="D306" s="28"/>
      <c r="E306" s="28"/>
      <c r="F306" s="28"/>
      <c r="G306" s="28"/>
      <c r="H306" s="28"/>
      <c r="I306" s="28"/>
      <c r="J306" s="28"/>
      <c r="K306" s="28"/>
      <c r="L306" s="20"/>
      <c r="M306" s="20"/>
      <c r="N306" s="20"/>
      <c r="O306" s="20"/>
      <c r="P306" s="29"/>
      <c r="Q306" s="29"/>
      <c r="R306" s="20"/>
      <c r="S306" s="20"/>
      <c r="T306" s="20"/>
      <c r="U306" s="330" t="s">
        <v>104</v>
      </c>
      <c r="V306" s="330"/>
      <c r="W306" s="330"/>
      <c r="X306" s="330"/>
      <c r="Y306" s="330"/>
      <c r="Z306" s="330"/>
      <c r="AA306" s="330"/>
    </row>
    <row r="307" spans="1:27" x14ac:dyDescent="0.2">
      <c r="A307" s="28"/>
      <c r="B307" s="28"/>
      <c r="C307" s="28"/>
      <c r="D307" s="28"/>
      <c r="E307" s="28"/>
      <c r="F307" s="28"/>
      <c r="G307" s="28"/>
      <c r="H307" s="28"/>
      <c r="I307" s="28"/>
      <c r="J307" s="28"/>
      <c r="K307" s="28"/>
      <c r="L307" s="20"/>
      <c r="M307" s="20"/>
      <c r="N307" s="20"/>
      <c r="O307" s="20"/>
      <c r="P307" s="29"/>
      <c r="Q307" s="29"/>
      <c r="R307" s="20"/>
      <c r="S307" s="20"/>
      <c r="T307" s="20"/>
      <c r="U307" s="330"/>
      <c r="V307" s="330"/>
      <c r="W307" s="330"/>
      <c r="X307" s="330"/>
      <c r="Y307" s="330"/>
      <c r="Z307" s="330"/>
      <c r="AA307" s="330"/>
    </row>
    <row r="308" spans="1:27" ht="12.75" customHeight="1" x14ac:dyDescent="0.2">
      <c r="A308" s="28"/>
      <c r="B308" s="28"/>
      <c r="C308" s="28"/>
      <c r="D308" s="28"/>
      <c r="E308" s="28"/>
      <c r="F308" s="28"/>
      <c r="G308" s="28"/>
      <c r="H308" s="28"/>
      <c r="I308" s="28"/>
      <c r="J308" s="28"/>
      <c r="K308" s="28"/>
      <c r="L308" s="20"/>
      <c r="M308" s="20"/>
      <c r="N308" s="20"/>
      <c r="O308" s="20"/>
      <c r="P308" s="29"/>
      <c r="Q308" s="29"/>
      <c r="R308" s="20"/>
      <c r="S308" s="20"/>
      <c r="T308" s="20"/>
      <c r="U308" s="330"/>
      <c r="V308" s="330"/>
      <c r="W308" s="330"/>
      <c r="X308" s="330"/>
      <c r="Y308" s="330"/>
      <c r="Z308" s="330"/>
      <c r="AA308" s="330"/>
    </row>
    <row r="309" spans="1:27" ht="12.75" customHeight="1" x14ac:dyDescent="0.2">
      <c r="A309" s="28"/>
      <c r="B309" s="28"/>
      <c r="C309" s="28"/>
      <c r="D309" s="28"/>
      <c r="E309" s="28"/>
      <c r="F309" s="28"/>
      <c r="G309" s="28"/>
      <c r="H309" s="28"/>
      <c r="I309" s="28"/>
      <c r="J309" s="28"/>
      <c r="K309" s="28"/>
      <c r="L309" s="20"/>
      <c r="M309" s="20"/>
      <c r="N309" s="20"/>
      <c r="O309" s="20"/>
      <c r="P309" s="29"/>
      <c r="Q309" s="29"/>
      <c r="R309" s="20"/>
      <c r="S309" s="20"/>
      <c r="T309" s="20"/>
      <c r="U309" s="330"/>
      <c r="V309" s="330"/>
      <c r="W309" s="330"/>
      <c r="X309" s="330"/>
      <c r="Y309" s="330"/>
      <c r="Z309" s="330"/>
      <c r="AA309" s="330"/>
    </row>
    <row r="310" spans="1:27" ht="12.75" customHeight="1" x14ac:dyDescent="0.2">
      <c r="A310" s="28"/>
      <c r="B310" s="28"/>
      <c r="C310" s="28"/>
      <c r="D310" s="28"/>
      <c r="E310" s="28"/>
      <c r="F310" s="28"/>
      <c r="G310" s="28"/>
      <c r="H310" s="28"/>
      <c r="I310" s="28"/>
      <c r="J310" s="28"/>
      <c r="K310" s="28"/>
      <c r="L310" s="20"/>
      <c r="M310" s="20"/>
      <c r="N310" s="20"/>
      <c r="O310" s="20"/>
      <c r="P310" s="29"/>
      <c r="Q310" s="29"/>
      <c r="R310" s="20"/>
      <c r="S310" s="20"/>
      <c r="T310" s="20"/>
    </row>
    <row r="315" spans="1:27" x14ac:dyDescent="0.2">
      <c r="A315" s="153" t="s">
        <v>106</v>
      </c>
      <c r="B315" s="153"/>
      <c r="C315" s="153"/>
      <c r="D315" s="153"/>
      <c r="E315" s="153"/>
      <c r="F315" s="153"/>
      <c r="G315" s="153"/>
      <c r="H315" s="153"/>
      <c r="I315" s="153"/>
      <c r="J315" s="153"/>
      <c r="K315" s="153"/>
      <c r="L315" s="153"/>
      <c r="M315" s="153"/>
      <c r="N315" s="153"/>
      <c r="O315" s="153"/>
      <c r="P315" s="153"/>
      <c r="Q315" s="153"/>
      <c r="R315" s="153"/>
      <c r="S315" s="153"/>
      <c r="T315" s="153"/>
      <c r="U315" s="2"/>
    </row>
    <row r="316" spans="1:27" x14ac:dyDescent="0.2">
      <c r="A316" s="23"/>
      <c r="B316" s="23"/>
      <c r="C316" s="23"/>
      <c r="D316" s="23"/>
      <c r="E316" s="23"/>
      <c r="F316" s="23"/>
      <c r="G316" s="23"/>
      <c r="H316" s="23"/>
      <c r="I316" s="23"/>
      <c r="J316" s="23"/>
      <c r="K316" s="23"/>
      <c r="L316" s="23"/>
      <c r="M316" s="23"/>
      <c r="N316" s="23"/>
      <c r="O316" s="23"/>
      <c r="P316" s="23"/>
      <c r="Q316" s="23"/>
      <c r="R316" s="23"/>
      <c r="S316" s="23"/>
      <c r="T316" s="23"/>
    </row>
    <row r="317" spans="1:27" ht="12.75" customHeight="1" x14ac:dyDescent="0.2">
      <c r="A317" s="104" t="s">
        <v>60</v>
      </c>
      <c r="B317" s="105"/>
      <c r="C317" s="105"/>
      <c r="D317" s="105"/>
      <c r="E317" s="105"/>
      <c r="F317" s="105"/>
      <c r="G317" s="105"/>
      <c r="H317" s="105"/>
      <c r="I317" s="105"/>
      <c r="J317" s="105"/>
      <c r="K317" s="105"/>
      <c r="L317" s="105"/>
      <c r="M317" s="105"/>
      <c r="N317" s="105"/>
      <c r="O317" s="105"/>
      <c r="P317" s="105"/>
      <c r="Q317" s="105"/>
      <c r="R317" s="105"/>
      <c r="S317" s="105"/>
      <c r="T317" s="106"/>
      <c r="U317" s="309" t="s">
        <v>132</v>
      </c>
      <c r="V317" s="309"/>
      <c r="W317" s="309"/>
      <c r="X317" s="309"/>
      <c r="Y317" s="309"/>
    </row>
    <row r="318" spans="1:27" ht="12.75" customHeight="1" x14ac:dyDescent="0.2">
      <c r="A318" s="107"/>
      <c r="B318" s="108"/>
      <c r="C318" s="108"/>
      <c r="D318" s="108"/>
      <c r="E318" s="108"/>
      <c r="F318" s="108"/>
      <c r="G318" s="108"/>
      <c r="H318" s="108"/>
      <c r="I318" s="108"/>
      <c r="J318" s="108"/>
      <c r="K318" s="108"/>
      <c r="L318" s="108"/>
      <c r="M318" s="108"/>
      <c r="N318" s="108"/>
      <c r="O318" s="108"/>
      <c r="P318" s="108"/>
      <c r="Q318" s="108"/>
      <c r="R318" s="108"/>
      <c r="S318" s="108"/>
      <c r="T318" s="109"/>
      <c r="U318" s="309"/>
      <c r="V318" s="309"/>
      <c r="W318" s="309"/>
      <c r="X318" s="309"/>
      <c r="Y318" s="309"/>
    </row>
    <row r="319" spans="1:27" ht="12.75" customHeight="1" x14ac:dyDescent="0.2">
      <c r="A319" s="121" t="s">
        <v>24</v>
      </c>
      <c r="B319" s="121" t="s">
        <v>23</v>
      </c>
      <c r="C319" s="121"/>
      <c r="D319" s="121"/>
      <c r="E319" s="121"/>
      <c r="F319" s="121"/>
      <c r="G319" s="121"/>
      <c r="H319" s="121"/>
      <c r="I319" s="121"/>
      <c r="J319" s="121" t="s">
        <v>35</v>
      </c>
      <c r="K319" s="104" t="s">
        <v>21</v>
      </c>
      <c r="L319" s="105"/>
      <c r="M319" s="106"/>
      <c r="N319" s="104" t="s">
        <v>36</v>
      </c>
      <c r="O319" s="105"/>
      <c r="P319" s="106"/>
      <c r="Q319" s="104" t="s">
        <v>20</v>
      </c>
      <c r="R319" s="105"/>
      <c r="S319" s="106"/>
      <c r="T319" s="101" t="s">
        <v>19</v>
      </c>
      <c r="U319" s="309"/>
      <c r="V319" s="309"/>
      <c r="W319" s="309"/>
      <c r="X319" s="309"/>
      <c r="Y319" s="309"/>
    </row>
    <row r="320" spans="1:27" ht="12.75" customHeight="1" x14ac:dyDescent="0.2">
      <c r="A320" s="121"/>
      <c r="B320" s="121"/>
      <c r="C320" s="121"/>
      <c r="D320" s="121"/>
      <c r="E320" s="121"/>
      <c r="F320" s="121"/>
      <c r="G320" s="121"/>
      <c r="H320" s="121"/>
      <c r="I320" s="121"/>
      <c r="J320" s="121"/>
      <c r="K320" s="107"/>
      <c r="L320" s="108"/>
      <c r="M320" s="109"/>
      <c r="N320" s="107"/>
      <c r="O320" s="108"/>
      <c r="P320" s="109"/>
      <c r="Q320" s="107"/>
      <c r="R320" s="108"/>
      <c r="S320" s="109"/>
      <c r="T320" s="102"/>
      <c r="U320" s="309"/>
      <c r="V320" s="309"/>
      <c r="W320" s="309"/>
      <c r="X320" s="309"/>
      <c r="Y320" s="309"/>
    </row>
    <row r="321" spans="1:25" x14ac:dyDescent="0.2">
      <c r="A321" s="121"/>
      <c r="B321" s="121"/>
      <c r="C321" s="121"/>
      <c r="D321" s="121"/>
      <c r="E321" s="121"/>
      <c r="F321" s="121"/>
      <c r="G321" s="121"/>
      <c r="H321" s="121"/>
      <c r="I321" s="121"/>
      <c r="J321" s="121"/>
      <c r="K321" s="3" t="s">
        <v>25</v>
      </c>
      <c r="L321" s="3" t="s">
        <v>26</v>
      </c>
      <c r="M321" s="3" t="s">
        <v>27</v>
      </c>
      <c r="N321" s="3" t="s">
        <v>31</v>
      </c>
      <c r="O321" s="3" t="s">
        <v>5</v>
      </c>
      <c r="P321" s="3" t="s">
        <v>28</v>
      </c>
      <c r="Q321" s="3" t="s">
        <v>29</v>
      </c>
      <c r="R321" s="3" t="s">
        <v>25</v>
      </c>
      <c r="S321" s="3" t="s">
        <v>30</v>
      </c>
      <c r="T321" s="103"/>
      <c r="U321" s="309"/>
      <c r="V321" s="309"/>
      <c r="W321" s="309"/>
      <c r="X321" s="309"/>
      <c r="Y321" s="309"/>
    </row>
    <row r="322" spans="1:25" ht="12.75" customHeight="1" x14ac:dyDescent="0.2">
      <c r="A322" s="310" t="s">
        <v>44</v>
      </c>
      <c r="B322" s="310"/>
      <c r="C322" s="310"/>
      <c r="D322" s="310"/>
      <c r="E322" s="310"/>
      <c r="F322" s="310"/>
      <c r="G322" s="310"/>
      <c r="H322" s="310"/>
      <c r="I322" s="310"/>
      <c r="J322" s="310"/>
      <c r="K322" s="310"/>
      <c r="L322" s="310"/>
      <c r="M322" s="310"/>
      <c r="N322" s="310"/>
      <c r="O322" s="310"/>
      <c r="P322" s="310"/>
      <c r="Q322" s="310"/>
      <c r="R322" s="310"/>
      <c r="S322" s="310"/>
      <c r="T322" s="310"/>
      <c r="U322" s="309"/>
      <c r="V322" s="309"/>
      <c r="W322" s="309"/>
      <c r="X322" s="309"/>
      <c r="Y322" s="309"/>
    </row>
    <row r="323" spans="1:25" ht="28.35" customHeight="1" x14ac:dyDescent="0.2">
      <c r="A323" s="40" t="s">
        <v>107</v>
      </c>
      <c r="B323" s="274" t="s">
        <v>108</v>
      </c>
      <c r="C323" s="274"/>
      <c r="D323" s="274"/>
      <c r="E323" s="274"/>
      <c r="F323" s="274"/>
      <c r="G323" s="274"/>
      <c r="H323" s="274"/>
      <c r="I323" s="274"/>
      <c r="J323" s="18">
        <v>5</v>
      </c>
      <c r="K323" s="18">
        <v>2</v>
      </c>
      <c r="L323" s="18">
        <v>1</v>
      </c>
      <c r="M323" s="18">
        <v>0</v>
      </c>
      <c r="N323" s="43">
        <f>K323+L323+M323</f>
        <v>3</v>
      </c>
      <c r="O323" s="43">
        <f>P323-N323</f>
        <v>6</v>
      </c>
      <c r="P323" s="43">
        <f>ROUND(PRODUCT(J323,25)/14,0)</f>
        <v>9</v>
      </c>
      <c r="Q323" s="18" t="s">
        <v>29</v>
      </c>
      <c r="R323" s="18"/>
      <c r="S323" s="18"/>
      <c r="T323" s="18" t="s">
        <v>87</v>
      </c>
      <c r="U323" s="309"/>
      <c r="V323" s="309"/>
      <c r="W323" s="309"/>
      <c r="X323" s="309"/>
      <c r="Y323" s="309"/>
    </row>
    <row r="324" spans="1:25" ht="28.35" customHeight="1" x14ac:dyDescent="0.2">
      <c r="A324" s="40" t="s">
        <v>109</v>
      </c>
      <c r="B324" s="274" t="s">
        <v>110</v>
      </c>
      <c r="C324" s="274"/>
      <c r="D324" s="274"/>
      <c r="E324" s="274"/>
      <c r="F324" s="274"/>
      <c r="G324" s="274"/>
      <c r="H324" s="274"/>
      <c r="I324" s="274"/>
      <c r="J324" s="18">
        <v>5</v>
      </c>
      <c r="K324" s="18">
        <v>2</v>
      </c>
      <c r="L324" s="18">
        <v>1</v>
      </c>
      <c r="M324" s="18">
        <v>0</v>
      </c>
      <c r="N324" s="43">
        <f>K324+L324+M324</f>
        <v>3</v>
      </c>
      <c r="O324" s="43">
        <f>P324-N324</f>
        <v>6</v>
      </c>
      <c r="P324" s="43">
        <f>ROUND(PRODUCT(J324,25)/14,0)</f>
        <v>9</v>
      </c>
      <c r="Q324" s="18" t="s">
        <v>29</v>
      </c>
      <c r="R324" s="18"/>
      <c r="S324" s="18"/>
      <c r="T324" s="18" t="s">
        <v>87</v>
      </c>
    </row>
    <row r="325" spans="1:25" x14ac:dyDescent="0.2">
      <c r="A325" s="166" t="s">
        <v>45</v>
      </c>
      <c r="B325" s="167"/>
      <c r="C325" s="167"/>
      <c r="D325" s="167"/>
      <c r="E325" s="167"/>
      <c r="F325" s="167"/>
      <c r="G325" s="167"/>
      <c r="H325" s="167"/>
      <c r="I325" s="167"/>
      <c r="J325" s="167"/>
      <c r="K325" s="167"/>
      <c r="L325" s="167"/>
      <c r="M325" s="167"/>
      <c r="N325" s="167"/>
      <c r="O325" s="167"/>
      <c r="P325" s="167"/>
      <c r="Q325" s="167"/>
      <c r="R325" s="167"/>
      <c r="S325" s="167"/>
      <c r="T325" s="168"/>
    </row>
    <row r="326" spans="1:25" ht="56.85" customHeight="1" x14ac:dyDescent="0.2">
      <c r="A326" s="40" t="s">
        <v>111</v>
      </c>
      <c r="B326" s="274" t="s">
        <v>112</v>
      </c>
      <c r="C326" s="274"/>
      <c r="D326" s="274"/>
      <c r="E326" s="274"/>
      <c r="F326" s="274"/>
      <c r="G326" s="274"/>
      <c r="H326" s="274"/>
      <c r="I326" s="274"/>
      <c r="J326" s="18">
        <v>5</v>
      </c>
      <c r="K326" s="18">
        <v>2</v>
      </c>
      <c r="L326" s="18">
        <v>1</v>
      </c>
      <c r="M326" s="18">
        <v>0</v>
      </c>
      <c r="N326" s="43">
        <f>K326+L326+M326</f>
        <v>3</v>
      </c>
      <c r="O326" s="43">
        <f>P326-N326</f>
        <v>6</v>
      </c>
      <c r="P326" s="43">
        <f>ROUND(PRODUCT(J326,25)/14,0)</f>
        <v>9</v>
      </c>
      <c r="Q326" s="18" t="s">
        <v>29</v>
      </c>
      <c r="R326" s="18"/>
      <c r="S326" s="18"/>
      <c r="T326" s="18" t="s">
        <v>113</v>
      </c>
    </row>
    <row r="327" spans="1:25" ht="19.7" customHeight="1" x14ac:dyDescent="0.2">
      <c r="A327" s="40" t="s">
        <v>114</v>
      </c>
      <c r="B327" s="274" t="s">
        <v>115</v>
      </c>
      <c r="C327" s="274"/>
      <c r="D327" s="274"/>
      <c r="E327" s="274"/>
      <c r="F327" s="274"/>
      <c r="G327" s="274"/>
      <c r="H327" s="274"/>
      <c r="I327" s="274"/>
      <c r="J327" s="18">
        <v>5</v>
      </c>
      <c r="K327" s="18">
        <v>1</v>
      </c>
      <c r="L327" s="18">
        <v>2</v>
      </c>
      <c r="M327" s="18">
        <v>0</v>
      </c>
      <c r="N327" s="43">
        <f>K327+L327+M327</f>
        <v>3</v>
      </c>
      <c r="O327" s="43">
        <f>P327-N327</f>
        <v>6</v>
      </c>
      <c r="P327" s="43">
        <f>ROUND(PRODUCT(J327,25)/14,0)</f>
        <v>9</v>
      </c>
      <c r="Q327" s="18" t="s">
        <v>29</v>
      </c>
      <c r="R327" s="18"/>
      <c r="S327" s="18"/>
      <c r="T327" s="18" t="s">
        <v>116</v>
      </c>
    </row>
    <row r="328" spans="1:25" x14ac:dyDescent="0.2">
      <c r="A328" s="166" t="s">
        <v>46</v>
      </c>
      <c r="B328" s="167"/>
      <c r="C328" s="167"/>
      <c r="D328" s="167"/>
      <c r="E328" s="167"/>
      <c r="F328" s="167"/>
      <c r="G328" s="167"/>
      <c r="H328" s="167"/>
      <c r="I328" s="167"/>
      <c r="J328" s="167"/>
      <c r="K328" s="167"/>
      <c r="L328" s="167"/>
      <c r="M328" s="167"/>
      <c r="N328" s="167"/>
      <c r="O328" s="167"/>
      <c r="P328" s="167"/>
      <c r="Q328" s="167"/>
      <c r="R328" s="167"/>
      <c r="S328" s="167"/>
      <c r="T328" s="168"/>
    </row>
    <row r="329" spans="1:25" ht="42.6" customHeight="1" x14ac:dyDescent="0.2">
      <c r="A329" s="40" t="s">
        <v>117</v>
      </c>
      <c r="B329" s="335" t="s">
        <v>118</v>
      </c>
      <c r="C329" s="335"/>
      <c r="D329" s="335"/>
      <c r="E329" s="335"/>
      <c r="F329" s="335"/>
      <c r="G329" s="335"/>
      <c r="H329" s="335"/>
      <c r="I329" s="335"/>
      <c r="J329" s="18">
        <v>5</v>
      </c>
      <c r="K329" s="18">
        <v>0</v>
      </c>
      <c r="L329" s="18">
        <v>0</v>
      </c>
      <c r="M329" s="18">
        <v>3</v>
      </c>
      <c r="N329" s="43">
        <f>K329+L329+M329</f>
        <v>3</v>
      </c>
      <c r="O329" s="43">
        <f>P329-N329</f>
        <v>6</v>
      </c>
      <c r="P329" s="43">
        <f>ROUND(PRODUCT(J329,25)/14,0)</f>
        <v>9</v>
      </c>
      <c r="Q329" s="18"/>
      <c r="R329" s="18" t="s">
        <v>25</v>
      </c>
      <c r="S329" s="18"/>
      <c r="T329" s="18" t="s">
        <v>113</v>
      </c>
    </row>
    <row r="330" spans="1:25" ht="19.7" customHeight="1" x14ac:dyDescent="0.2">
      <c r="A330" s="40" t="s">
        <v>119</v>
      </c>
      <c r="B330" s="274" t="s">
        <v>120</v>
      </c>
      <c r="C330" s="274"/>
      <c r="D330" s="274"/>
      <c r="E330" s="274"/>
      <c r="F330" s="274"/>
      <c r="G330" s="274"/>
      <c r="H330" s="274"/>
      <c r="I330" s="274"/>
      <c r="J330" s="18">
        <v>5</v>
      </c>
      <c r="K330" s="18">
        <v>1</v>
      </c>
      <c r="L330" s="18">
        <v>2</v>
      </c>
      <c r="M330" s="18">
        <v>0</v>
      </c>
      <c r="N330" s="43">
        <f>K330+L330+M330</f>
        <v>3</v>
      </c>
      <c r="O330" s="43">
        <f>P330-N330</f>
        <v>6</v>
      </c>
      <c r="P330" s="43">
        <f>ROUND(PRODUCT(J330,25)/14,0)</f>
        <v>9</v>
      </c>
      <c r="Q330" s="18" t="s">
        <v>29</v>
      </c>
      <c r="R330" s="18"/>
      <c r="S330" s="18"/>
      <c r="T330" s="18" t="s">
        <v>116</v>
      </c>
    </row>
    <row r="331" spans="1:25" x14ac:dyDescent="0.2">
      <c r="A331" s="263" t="s">
        <v>47</v>
      </c>
      <c r="B331" s="264"/>
      <c r="C331" s="264"/>
      <c r="D331" s="264"/>
      <c r="E331" s="264"/>
      <c r="F331" s="264"/>
      <c r="G331" s="264"/>
      <c r="H331" s="264"/>
      <c r="I331" s="264"/>
      <c r="J331" s="264"/>
      <c r="K331" s="264"/>
      <c r="L331" s="264"/>
      <c r="M331" s="264"/>
      <c r="N331" s="264"/>
      <c r="O331" s="264"/>
      <c r="P331" s="264"/>
      <c r="Q331" s="264"/>
      <c r="R331" s="264"/>
      <c r="S331" s="264"/>
      <c r="T331" s="265"/>
    </row>
    <row r="332" spans="1:25" ht="19.7" customHeight="1" x14ac:dyDescent="0.2">
      <c r="A332" s="40"/>
      <c r="B332" s="274" t="s">
        <v>121</v>
      </c>
      <c r="C332" s="274"/>
      <c r="D332" s="274"/>
      <c r="E332" s="274"/>
      <c r="F332" s="274"/>
      <c r="G332" s="274"/>
      <c r="H332" s="274"/>
      <c r="I332" s="274"/>
      <c r="J332" s="18">
        <v>5</v>
      </c>
      <c r="K332" s="18"/>
      <c r="L332" s="18"/>
      <c r="M332" s="18"/>
      <c r="N332" s="43"/>
      <c r="O332" s="43"/>
      <c r="P332" s="43"/>
      <c r="Q332" s="18"/>
      <c r="R332" s="18"/>
      <c r="S332" s="18"/>
      <c r="T332" s="46"/>
    </row>
    <row r="333" spans="1:25" x14ac:dyDescent="0.2">
      <c r="A333" s="269" t="s">
        <v>59</v>
      </c>
      <c r="B333" s="269"/>
      <c r="C333" s="269"/>
      <c r="D333" s="269"/>
      <c r="E333" s="269"/>
      <c r="F333" s="269"/>
      <c r="G333" s="269"/>
      <c r="H333" s="269"/>
      <c r="I333" s="269"/>
      <c r="J333" s="39">
        <f>SUM(J323:J324,J326:J327,J329:J330,J332)</f>
        <v>35</v>
      </c>
      <c r="K333" s="39">
        <f t="shared" ref="K333:P333" si="71">SUM(K323:K324,K326:K327,K329:K330,K332)</f>
        <v>8</v>
      </c>
      <c r="L333" s="39">
        <f t="shared" si="71"/>
        <v>7</v>
      </c>
      <c r="M333" s="39">
        <f t="shared" si="71"/>
        <v>3</v>
      </c>
      <c r="N333" s="39">
        <f t="shared" si="71"/>
        <v>18</v>
      </c>
      <c r="O333" s="39">
        <f t="shared" si="71"/>
        <v>36</v>
      </c>
      <c r="P333" s="39">
        <f t="shared" si="71"/>
        <v>54</v>
      </c>
      <c r="Q333" s="44">
        <f>COUNTIF(Q323:Q324,"E")+COUNTIF(Q326:Q327,"E")+COUNTIF(Q329:Q330,"E")+COUNTIF(Q332,"E")</f>
        <v>5</v>
      </c>
      <c r="R333" s="44">
        <f>COUNTIF(R323:R324,"C")+COUNTIF(R326:R327,"C")+COUNTIF(R329:R330,"C")+COUNTIF(R332,"C")</f>
        <v>1</v>
      </c>
      <c r="S333" s="44">
        <f>COUNTIF(S323:S324,"VP")+COUNTIF(S326:S327,"VP")+COUNTIF(S329:S330,"VP")+COUNTIF(S332,"VP")</f>
        <v>0</v>
      </c>
      <c r="T333" s="45"/>
    </row>
    <row r="334" spans="1:25" x14ac:dyDescent="0.2">
      <c r="A334" s="269" t="s">
        <v>43</v>
      </c>
      <c r="B334" s="269"/>
      <c r="C334" s="269"/>
      <c r="D334" s="269"/>
      <c r="E334" s="269"/>
      <c r="F334" s="269"/>
      <c r="G334" s="269"/>
      <c r="H334" s="269"/>
      <c r="I334" s="269"/>
      <c r="J334" s="269"/>
      <c r="K334" s="39">
        <f>SUM(K323:K324,K326:K327,K329:K330)*14</f>
        <v>112</v>
      </c>
      <c r="L334" s="39">
        <f t="shared" ref="L334:P334" si="72">SUM(L323:L324,L326:L327,L329:L330)*14</f>
        <v>98</v>
      </c>
      <c r="M334" s="39">
        <f t="shared" si="72"/>
        <v>42</v>
      </c>
      <c r="N334" s="39">
        <f t="shared" si="72"/>
        <v>252</v>
      </c>
      <c r="O334" s="39">
        <f t="shared" si="72"/>
        <v>504</v>
      </c>
      <c r="P334" s="39">
        <f t="shared" si="72"/>
        <v>756</v>
      </c>
      <c r="Q334" s="273"/>
      <c r="R334" s="273"/>
      <c r="S334" s="273"/>
      <c r="T334" s="273"/>
    </row>
    <row r="335" spans="1:25" x14ac:dyDescent="0.2">
      <c r="A335" s="269"/>
      <c r="B335" s="269"/>
      <c r="C335" s="269"/>
      <c r="D335" s="269"/>
      <c r="E335" s="269"/>
      <c r="F335" s="269"/>
      <c r="G335" s="269"/>
      <c r="H335" s="269"/>
      <c r="I335" s="269"/>
      <c r="J335" s="269"/>
      <c r="K335" s="151">
        <f>SUM(K334:M334)</f>
        <v>252</v>
      </c>
      <c r="L335" s="151"/>
      <c r="M335" s="151"/>
      <c r="N335" s="151">
        <f>SUM(N334:O334)</f>
        <v>756</v>
      </c>
      <c r="O335" s="151"/>
      <c r="P335" s="151"/>
      <c r="Q335" s="273"/>
      <c r="R335" s="273"/>
      <c r="S335" s="273"/>
      <c r="T335" s="273"/>
    </row>
    <row r="336" spans="1:25" x14ac:dyDescent="0.2">
      <c r="A336" s="23"/>
      <c r="B336" s="23"/>
      <c r="C336" s="23"/>
      <c r="D336" s="23"/>
      <c r="E336" s="23"/>
      <c r="F336" s="23"/>
      <c r="G336" s="23"/>
      <c r="H336" s="23"/>
      <c r="I336" s="23"/>
      <c r="J336" s="23"/>
      <c r="K336" s="23"/>
      <c r="L336" s="23"/>
      <c r="M336" s="23"/>
      <c r="N336" s="23"/>
      <c r="O336" s="23"/>
      <c r="P336" s="23"/>
      <c r="Q336" s="23"/>
      <c r="R336" s="23"/>
      <c r="S336" s="23"/>
      <c r="T336" s="23"/>
      <c r="U336" s="2"/>
    </row>
    <row r="337" spans="1:25" x14ac:dyDescent="0.2">
      <c r="A337" s="152" t="s">
        <v>122</v>
      </c>
      <c r="B337" s="152"/>
      <c r="C337" s="152"/>
      <c r="D337" s="152"/>
      <c r="E337" s="152"/>
      <c r="F337" s="152"/>
      <c r="G337" s="152"/>
      <c r="H337" s="152"/>
      <c r="I337" s="152"/>
      <c r="J337" s="152"/>
      <c r="K337" s="152"/>
      <c r="L337" s="152"/>
      <c r="M337" s="152"/>
      <c r="N337" s="152"/>
      <c r="O337" s="152"/>
      <c r="P337" s="152"/>
      <c r="Q337" s="152"/>
      <c r="R337" s="152"/>
      <c r="S337" s="152"/>
      <c r="T337" s="152"/>
      <c r="U337" s="2"/>
    </row>
    <row r="338" spans="1:25" x14ac:dyDescent="0.2">
      <c r="A338" s="152" t="s">
        <v>123</v>
      </c>
      <c r="B338" s="152"/>
      <c r="C338" s="152"/>
      <c r="D338" s="152"/>
      <c r="E338" s="152"/>
      <c r="F338" s="152"/>
      <c r="G338" s="152"/>
      <c r="H338" s="152"/>
      <c r="I338" s="152"/>
      <c r="J338" s="152"/>
      <c r="K338" s="152"/>
      <c r="L338" s="152"/>
      <c r="M338" s="152"/>
      <c r="N338" s="152"/>
      <c r="O338" s="152"/>
      <c r="P338" s="152"/>
      <c r="Q338" s="152"/>
      <c r="R338" s="152"/>
      <c r="S338" s="152"/>
      <c r="T338" s="152"/>
      <c r="U338" s="2"/>
    </row>
    <row r="339" spans="1:25" x14ac:dyDescent="0.2">
      <c r="A339" s="152" t="s">
        <v>124</v>
      </c>
      <c r="B339" s="152"/>
      <c r="C339" s="152"/>
      <c r="D339" s="152"/>
      <c r="E339" s="152"/>
      <c r="F339" s="152"/>
      <c r="G339" s="152"/>
      <c r="H339" s="152"/>
      <c r="I339" s="152"/>
      <c r="J339" s="152"/>
      <c r="K339" s="152"/>
      <c r="L339" s="152"/>
      <c r="M339" s="152"/>
      <c r="N339" s="152"/>
      <c r="O339" s="152"/>
      <c r="P339" s="152"/>
      <c r="Q339" s="152"/>
      <c r="R339" s="152"/>
      <c r="S339" s="152"/>
      <c r="T339" s="152"/>
      <c r="U339" s="2"/>
    </row>
    <row r="344" spans="1:25" x14ac:dyDescent="0.2">
      <c r="A344" s="153" t="s">
        <v>106</v>
      </c>
      <c r="B344" s="153"/>
      <c r="C344" s="153"/>
      <c r="D344" s="153"/>
      <c r="E344" s="153"/>
      <c r="F344" s="153"/>
      <c r="G344" s="153"/>
      <c r="H344" s="153"/>
      <c r="I344" s="153"/>
      <c r="J344" s="153"/>
      <c r="K344" s="153"/>
      <c r="L344" s="153"/>
      <c r="M344" s="153"/>
      <c r="N344" s="153"/>
      <c r="O344" s="153"/>
      <c r="P344" s="153"/>
      <c r="Q344" s="153"/>
      <c r="R344" s="153"/>
      <c r="S344" s="153"/>
      <c r="T344" s="153"/>
    </row>
    <row r="345" spans="1:25" x14ac:dyDescent="0.2">
      <c r="A345" s="23"/>
      <c r="B345" s="23"/>
      <c r="C345" s="23"/>
      <c r="D345" s="23"/>
      <c r="E345" s="23"/>
      <c r="F345" s="23"/>
      <c r="G345" s="23"/>
      <c r="H345" s="23"/>
      <c r="I345" s="23"/>
      <c r="J345" s="23"/>
      <c r="K345" s="23"/>
      <c r="L345" s="23"/>
      <c r="M345" s="23"/>
      <c r="N345" s="23"/>
      <c r="O345" s="23"/>
      <c r="P345" s="23"/>
      <c r="Q345" s="23"/>
      <c r="R345" s="23"/>
      <c r="S345" s="23"/>
      <c r="T345" s="23"/>
    </row>
    <row r="346" spans="1:25" x14ac:dyDescent="0.2">
      <c r="A346" s="104" t="s">
        <v>60</v>
      </c>
      <c r="B346" s="105"/>
      <c r="C346" s="105"/>
      <c r="D346" s="105"/>
      <c r="E346" s="105"/>
      <c r="F346" s="105"/>
      <c r="G346" s="105"/>
      <c r="H346" s="105"/>
      <c r="I346" s="105"/>
      <c r="J346" s="105"/>
      <c r="K346" s="105"/>
      <c r="L346" s="105"/>
      <c r="M346" s="105"/>
      <c r="N346" s="105"/>
      <c r="O346" s="105"/>
      <c r="P346" s="105"/>
      <c r="Q346" s="105"/>
      <c r="R346" s="105"/>
      <c r="S346" s="105"/>
      <c r="T346" s="106"/>
      <c r="U346" s="309" t="s">
        <v>133</v>
      </c>
      <c r="V346" s="309"/>
      <c r="W346" s="309"/>
      <c r="X346" s="309"/>
      <c r="Y346" s="309"/>
    </row>
    <row r="347" spans="1:25" x14ac:dyDescent="0.2">
      <c r="A347" s="107"/>
      <c r="B347" s="108"/>
      <c r="C347" s="108"/>
      <c r="D347" s="108"/>
      <c r="E347" s="108"/>
      <c r="F347" s="108"/>
      <c r="G347" s="108"/>
      <c r="H347" s="108"/>
      <c r="I347" s="108"/>
      <c r="J347" s="108"/>
      <c r="K347" s="108"/>
      <c r="L347" s="108"/>
      <c r="M347" s="108"/>
      <c r="N347" s="108"/>
      <c r="O347" s="108"/>
      <c r="P347" s="108"/>
      <c r="Q347" s="108"/>
      <c r="R347" s="108"/>
      <c r="S347" s="108"/>
      <c r="T347" s="109"/>
      <c r="U347" s="309"/>
      <c r="V347" s="309"/>
      <c r="W347" s="309"/>
      <c r="X347" s="309"/>
      <c r="Y347" s="309"/>
    </row>
    <row r="348" spans="1:25" x14ac:dyDescent="0.2">
      <c r="A348" s="121" t="s">
        <v>24</v>
      </c>
      <c r="B348" s="121" t="s">
        <v>23</v>
      </c>
      <c r="C348" s="121"/>
      <c r="D348" s="121"/>
      <c r="E348" s="121"/>
      <c r="F348" s="121"/>
      <c r="G348" s="121"/>
      <c r="H348" s="121"/>
      <c r="I348" s="121"/>
      <c r="J348" s="121" t="s">
        <v>35</v>
      </c>
      <c r="K348" s="104" t="s">
        <v>21</v>
      </c>
      <c r="L348" s="105"/>
      <c r="M348" s="106"/>
      <c r="N348" s="104" t="s">
        <v>36</v>
      </c>
      <c r="O348" s="105"/>
      <c r="P348" s="106"/>
      <c r="Q348" s="104" t="s">
        <v>20</v>
      </c>
      <c r="R348" s="105"/>
      <c r="S348" s="106"/>
      <c r="T348" s="101" t="s">
        <v>19</v>
      </c>
      <c r="U348" s="309"/>
      <c r="V348" s="309"/>
      <c r="W348" s="309"/>
      <c r="X348" s="309"/>
      <c r="Y348" s="309"/>
    </row>
    <row r="349" spans="1:25" x14ac:dyDescent="0.2">
      <c r="A349" s="121"/>
      <c r="B349" s="121"/>
      <c r="C349" s="121"/>
      <c r="D349" s="121"/>
      <c r="E349" s="121"/>
      <c r="F349" s="121"/>
      <c r="G349" s="121"/>
      <c r="H349" s="121"/>
      <c r="I349" s="121"/>
      <c r="J349" s="121"/>
      <c r="K349" s="107"/>
      <c r="L349" s="108"/>
      <c r="M349" s="109"/>
      <c r="N349" s="107"/>
      <c r="O349" s="108"/>
      <c r="P349" s="109"/>
      <c r="Q349" s="107"/>
      <c r="R349" s="108"/>
      <c r="S349" s="109"/>
      <c r="T349" s="102"/>
      <c r="U349" s="309"/>
      <c r="V349" s="309"/>
      <c r="W349" s="309"/>
      <c r="X349" s="309"/>
      <c r="Y349" s="309"/>
    </row>
    <row r="350" spans="1:25" x14ac:dyDescent="0.2">
      <c r="A350" s="121"/>
      <c r="B350" s="121"/>
      <c r="C350" s="121"/>
      <c r="D350" s="121"/>
      <c r="E350" s="121"/>
      <c r="F350" s="121"/>
      <c r="G350" s="121"/>
      <c r="H350" s="121"/>
      <c r="I350" s="121"/>
      <c r="J350" s="121"/>
      <c r="K350" s="3" t="s">
        <v>25</v>
      </c>
      <c r="L350" s="3" t="s">
        <v>26</v>
      </c>
      <c r="M350" s="3" t="s">
        <v>27</v>
      </c>
      <c r="N350" s="3" t="s">
        <v>31</v>
      </c>
      <c r="O350" s="3" t="s">
        <v>5</v>
      </c>
      <c r="P350" s="3" t="s">
        <v>28</v>
      </c>
      <c r="Q350" s="3" t="s">
        <v>29</v>
      </c>
      <c r="R350" s="3" t="s">
        <v>25</v>
      </c>
      <c r="S350" s="3" t="s">
        <v>30</v>
      </c>
      <c r="T350" s="103"/>
      <c r="U350" s="309"/>
      <c r="V350" s="309"/>
      <c r="W350" s="309"/>
      <c r="X350" s="309"/>
      <c r="Y350" s="309"/>
    </row>
    <row r="351" spans="1:25" x14ac:dyDescent="0.2">
      <c r="A351" s="310" t="s">
        <v>44</v>
      </c>
      <c r="B351" s="310"/>
      <c r="C351" s="310"/>
      <c r="D351" s="310"/>
      <c r="E351" s="310"/>
      <c r="F351" s="310"/>
      <c r="G351" s="310"/>
      <c r="H351" s="310"/>
      <c r="I351" s="310"/>
      <c r="J351" s="310"/>
      <c r="K351" s="310"/>
      <c r="L351" s="310"/>
      <c r="M351" s="310"/>
      <c r="N351" s="310"/>
      <c r="O351" s="310"/>
      <c r="P351" s="310"/>
      <c r="Q351" s="310"/>
      <c r="R351" s="310"/>
      <c r="S351" s="310"/>
      <c r="T351" s="310"/>
      <c r="U351" s="309"/>
      <c r="V351" s="309"/>
      <c r="W351" s="309"/>
      <c r="X351" s="309"/>
      <c r="Y351" s="309"/>
    </row>
    <row r="352" spans="1:25" ht="42.6" customHeight="1" x14ac:dyDescent="0.2">
      <c r="A352" s="40" t="s">
        <v>107</v>
      </c>
      <c r="B352" s="274" t="s">
        <v>125</v>
      </c>
      <c r="C352" s="274"/>
      <c r="D352" s="274"/>
      <c r="E352" s="274"/>
      <c r="F352" s="274"/>
      <c r="G352" s="274"/>
      <c r="H352" s="274"/>
      <c r="I352" s="274"/>
      <c r="J352" s="18">
        <v>5</v>
      </c>
      <c r="K352" s="18">
        <v>2</v>
      </c>
      <c r="L352" s="18">
        <v>1</v>
      </c>
      <c r="M352" s="18">
        <v>0</v>
      </c>
      <c r="N352" s="43">
        <f>K352+L352+M352</f>
        <v>3</v>
      </c>
      <c r="O352" s="43">
        <f>P352-N352</f>
        <v>6</v>
      </c>
      <c r="P352" s="43">
        <f>ROUND(PRODUCT(J352,25)/14,0)</f>
        <v>9</v>
      </c>
      <c r="Q352" s="18" t="s">
        <v>29</v>
      </c>
      <c r="R352" s="18"/>
      <c r="S352" s="18"/>
      <c r="T352" s="18" t="s">
        <v>87</v>
      </c>
      <c r="U352" s="309"/>
      <c r="V352" s="309"/>
      <c r="W352" s="309"/>
      <c r="X352" s="309"/>
      <c r="Y352" s="309"/>
    </row>
    <row r="353" spans="1:20" ht="42.6" customHeight="1" x14ac:dyDescent="0.2">
      <c r="A353" s="40" t="s">
        <v>109</v>
      </c>
      <c r="B353" s="274" t="s">
        <v>126</v>
      </c>
      <c r="C353" s="274"/>
      <c r="D353" s="274"/>
      <c r="E353" s="274"/>
      <c r="F353" s="274"/>
      <c r="G353" s="274"/>
      <c r="H353" s="274"/>
      <c r="I353" s="274"/>
      <c r="J353" s="18">
        <v>5</v>
      </c>
      <c r="K353" s="18">
        <v>2</v>
      </c>
      <c r="L353" s="18">
        <v>1</v>
      </c>
      <c r="M353" s="18">
        <v>0</v>
      </c>
      <c r="N353" s="43">
        <f>K353+L353+M353</f>
        <v>3</v>
      </c>
      <c r="O353" s="43">
        <f>P353-N353</f>
        <v>6</v>
      </c>
      <c r="P353" s="43">
        <f>ROUND(PRODUCT(J353,25)/14,0)</f>
        <v>9</v>
      </c>
      <c r="Q353" s="18" t="s">
        <v>29</v>
      </c>
      <c r="R353" s="18"/>
      <c r="S353" s="18"/>
      <c r="T353" s="18" t="s">
        <v>87</v>
      </c>
    </row>
    <row r="354" spans="1:20" x14ac:dyDescent="0.2">
      <c r="A354" s="166" t="s">
        <v>45</v>
      </c>
      <c r="B354" s="167"/>
      <c r="C354" s="167"/>
      <c r="D354" s="167"/>
      <c r="E354" s="167"/>
      <c r="F354" s="167"/>
      <c r="G354" s="167"/>
      <c r="H354" s="167"/>
      <c r="I354" s="167"/>
      <c r="J354" s="167"/>
      <c r="K354" s="167"/>
      <c r="L354" s="167"/>
      <c r="M354" s="167"/>
      <c r="N354" s="167"/>
      <c r="O354" s="167"/>
      <c r="P354" s="167"/>
      <c r="Q354" s="167"/>
      <c r="R354" s="167"/>
      <c r="S354" s="167"/>
      <c r="T354" s="168"/>
    </row>
    <row r="355" spans="1:20" ht="70.7" customHeight="1" x14ac:dyDescent="0.2">
      <c r="A355" s="40" t="s">
        <v>111</v>
      </c>
      <c r="B355" s="266" t="s">
        <v>127</v>
      </c>
      <c r="C355" s="267"/>
      <c r="D355" s="267"/>
      <c r="E355" s="267"/>
      <c r="F355" s="267"/>
      <c r="G355" s="267"/>
      <c r="H355" s="267"/>
      <c r="I355" s="268"/>
      <c r="J355" s="18">
        <v>5</v>
      </c>
      <c r="K355" s="18">
        <v>2</v>
      </c>
      <c r="L355" s="18">
        <v>1</v>
      </c>
      <c r="M355" s="18">
        <v>0</v>
      </c>
      <c r="N355" s="43">
        <f>K355+L355+M355</f>
        <v>3</v>
      </c>
      <c r="O355" s="43">
        <f>P355-N355</f>
        <v>6</v>
      </c>
      <c r="P355" s="43">
        <f>ROUND(PRODUCT(J355,25)/14,0)</f>
        <v>9</v>
      </c>
      <c r="Q355" s="18" t="s">
        <v>29</v>
      </c>
      <c r="R355" s="18"/>
      <c r="S355" s="18"/>
      <c r="T355" s="18" t="s">
        <v>113</v>
      </c>
    </row>
    <row r="356" spans="1:20" ht="19.7" customHeight="1" x14ac:dyDescent="0.2">
      <c r="A356" s="40" t="s">
        <v>114</v>
      </c>
      <c r="B356" s="266" t="s">
        <v>128</v>
      </c>
      <c r="C356" s="267"/>
      <c r="D356" s="267"/>
      <c r="E356" s="267"/>
      <c r="F356" s="267"/>
      <c r="G356" s="267"/>
      <c r="H356" s="267"/>
      <c r="I356" s="268"/>
      <c r="J356" s="18">
        <v>5</v>
      </c>
      <c r="K356" s="18">
        <v>1</v>
      </c>
      <c r="L356" s="18">
        <v>2</v>
      </c>
      <c r="M356" s="18">
        <v>0</v>
      </c>
      <c r="N356" s="43">
        <f>K356+L356+M356</f>
        <v>3</v>
      </c>
      <c r="O356" s="43">
        <f>P356-N356</f>
        <v>6</v>
      </c>
      <c r="P356" s="43">
        <f>ROUND(PRODUCT(J356,25)/14,0)</f>
        <v>9</v>
      </c>
      <c r="Q356" s="18" t="s">
        <v>29</v>
      </c>
      <c r="R356" s="18"/>
      <c r="S356" s="18"/>
      <c r="T356" s="18" t="s">
        <v>116</v>
      </c>
    </row>
    <row r="357" spans="1:20" x14ac:dyDescent="0.2">
      <c r="A357" s="166" t="s">
        <v>46</v>
      </c>
      <c r="B357" s="167"/>
      <c r="C357" s="167"/>
      <c r="D357" s="167"/>
      <c r="E357" s="167"/>
      <c r="F357" s="167"/>
      <c r="G357" s="167"/>
      <c r="H357" s="167"/>
      <c r="I357" s="167"/>
      <c r="J357" s="167"/>
      <c r="K357" s="167"/>
      <c r="L357" s="167"/>
      <c r="M357" s="167"/>
      <c r="N357" s="167"/>
      <c r="O357" s="167"/>
      <c r="P357" s="167"/>
      <c r="Q357" s="167"/>
      <c r="R357" s="167"/>
      <c r="S357" s="167"/>
      <c r="T357" s="168"/>
    </row>
    <row r="358" spans="1:20" ht="28.35" customHeight="1" x14ac:dyDescent="0.2">
      <c r="A358" s="40" t="s">
        <v>117</v>
      </c>
      <c r="B358" s="270" t="s">
        <v>129</v>
      </c>
      <c r="C358" s="271"/>
      <c r="D358" s="271"/>
      <c r="E358" s="271"/>
      <c r="F358" s="271"/>
      <c r="G358" s="271"/>
      <c r="H358" s="271"/>
      <c r="I358" s="272"/>
      <c r="J358" s="18">
        <v>5</v>
      </c>
      <c r="K358" s="18">
        <v>0</v>
      </c>
      <c r="L358" s="18">
        <v>0</v>
      </c>
      <c r="M358" s="18">
        <v>3</v>
      </c>
      <c r="N358" s="43">
        <f>K358+L358+M358</f>
        <v>3</v>
      </c>
      <c r="O358" s="43">
        <f>P358-N358</f>
        <v>6</v>
      </c>
      <c r="P358" s="43">
        <f>ROUND(PRODUCT(J358,25)/14,0)</f>
        <v>9</v>
      </c>
      <c r="Q358" s="18"/>
      <c r="R358" s="18" t="s">
        <v>25</v>
      </c>
      <c r="S358" s="18"/>
      <c r="T358" s="18" t="s">
        <v>113</v>
      </c>
    </row>
    <row r="359" spans="1:20" ht="19.7" customHeight="1" x14ac:dyDescent="0.2">
      <c r="A359" s="40" t="s">
        <v>119</v>
      </c>
      <c r="B359" s="266" t="s">
        <v>130</v>
      </c>
      <c r="C359" s="267"/>
      <c r="D359" s="267"/>
      <c r="E359" s="267"/>
      <c r="F359" s="267"/>
      <c r="G359" s="267"/>
      <c r="H359" s="267"/>
      <c r="I359" s="268"/>
      <c r="J359" s="18">
        <v>5</v>
      </c>
      <c r="K359" s="18">
        <v>1</v>
      </c>
      <c r="L359" s="18">
        <v>2</v>
      </c>
      <c r="M359" s="18">
        <v>0</v>
      </c>
      <c r="N359" s="43">
        <f>K359+L359+M359</f>
        <v>3</v>
      </c>
      <c r="O359" s="43">
        <f>P359-N359</f>
        <v>6</v>
      </c>
      <c r="P359" s="43">
        <f>ROUND(PRODUCT(J359,25)/14,0)</f>
        <v>9</v>
      </c>
      <c r="Q359" s="18" t="s">
        <v>29</v>
      </c>
      <c r="R359" s="18"/>
      <c r="S359" s="18"/>
      <c r="T359" s="18" t="s">
        <v>116</v>
      </c>
    </row>
    <row r="360" spans="1:20" x14ac:dyDescent="0.2">
      <c r="A360" s="263" t="s">
        <v>47</v>
      </c>
      <c r="B360" s="264"/>
      <c r="C360" s="264"/>
      <c r="D360" s="264"/>
      <c r="E360" s="264"/>
      <c r="F360" s="264"/>
      <c r="G360" s="264"/>
      <c r="H360" s="264"/>
      <c r="I360" s="264"/>
      <c r="J360" s="264"/>
      <c r="K360" s="264"/>
      <c r="L360" s="264"/>
      <c r="M360" s="264"/>
      <c r="N360" s="264"/>
      <c r="O360" s="264"/>
      <c r="P360" s="264"/>
      <c r="Q360" s="264"/>
      <c r="R360" s="264"/>
      <c r="S360" s="264"/>
      <c r="T360" s="265"/>
    </row>
    <row r="361" spans="1:20" ht="28.35" customHeight="1" x14ac:dyDescent="0.2">
      <c r="A361" s="40"/>
      <c r="B361" s="266" t="s">
        <v>131</v>
      </c>
      <c r="C361" s="267"/>
      <c r="D361" s="267"/>
      <c r="E361" s="267"/>
      <c r="F361" s="267"/>
      <c r="G361" s="267"/>
      <c r="H361" s="267"/>
      <c r="I361" s="268"/>
      <c r="J361" s="18">
        <v>5</v>
      </c>
      <c r="K361" s="18"/>
      <c r="L361" s="18"/>
      <c r="M361" s="18"/>
      <c r="N361" s="43"/>
      <c r="O361" s="43"/>
      <c r="P361" s="43"/>
      <c r="Q361" s="18"/>
      <c r="R361" s="18"/>
      <c r="S361" s="18"/>
      <c r="T361" s="46"/>
    </row>
    <row r="362" spans="1:20" x14ac:dyDescent="0.2">
      <c r="A362" s="269" t="s">
        <v>59</v>
      </c>
      <c r="B362" s="269"/>
      <c r="C362" s="269"/>
      <c r="D362" s="269"/>
      <c r="E362" s="269"/>
      <c r="F362" s="269"/>
      <c r="G362" s="269"/>
      <c r="H362" s="269"/>
      <c r="I362" s="269"/>
      <c r="J362" s="39">
        <f>SUM(J352:J353,J355:J356,J358:J359,J361)</f>
        <v>35</v>
      </c>
      <c r="K362" s="39">
        <f t="shared" ref="K362:P362" si="73">SUM(K352:K353,K355:K356,K358:K359,K361)</f>
        <v>8</v>
      </c>
      <c r="L362" s="39">
        <f t="shared" si="73"/>
        <v>7</v>
      </c>
      <c r="M362" s="39">
        <f t="shared" si="73"/>
        <v>3</v>
      </c>
      <c r="N362" s="39">
        <f t="shared" si="73"/>
        <v>18</v>
      </c>
      <c r="O362" s="39">
        <f t="shared" si="73"/>
        <v>36</v>
      </c>
      <c r="P362" s="39">
        <f t="shared" si="73"/>
        <v>54</v>
      </c>
      <c r="Q362" s="44">
        <f>COUNTIF(Q352:Q353,"E")+COUNTIF(Q355:Q356,"E")+COUNTIF(Q358:Q359,"E")+COUNTIF(Q361,"E")</f>
        <v>5</v>
      </c>
      <c r="R362" s="44">
        <f>COUNTIF(R352:R353,"C")+COUNTIF(R355:R356,"C")+COUNTIF(R358:R359,"C")+COUNTIF(R361,"C")</f>
        <v>1</v>
      </c>
      <c r="S362" s="44">
        <f>COUNTIF(S352:S353,"VP")+COUNTIF(S355:S356,"VP")+COUNTIF(S358:S359,"VP")+COUNTIF(S361,"VP")</f>
        <v>0</v>
      </c>
      <c r="T362" s="45"/>
    </row>
    <row r="363" spans="1:20" x14ac:dyDescent="0.2">
      <c r="A363" s="269" t="s">
        <v>43</v>
      </c>
      <c r="B363" s="269"/>
      <c r="C363" s="269"/>
      <c r="D363" s="269"/>
      <c r="E363" s="269"/>
      <c r="F363" s="269"/>
      <c r="G363" s="269"/>
      <c r="H363" s="269"/>
      <c r="I363" s="269"/>
      <c r="J363" s="269"/>
      <c r="K363" s="39">
        <f>SUM(K352:K353,K355:K356,K358:K359)*14</f>
        <v>112</v>
      </c>
      <c r="L363" s="39">
        <f t="shared" ref="L363:P363" si="74">SUM(L352:L353,L355:L356,L358:L359)*14</f>
        <v>98</v>
      </c>
      <c r="M363" s="39">
        <f t="shared" si="74"/>
        <v>42</v>
      </c>
      <c r="N363" s="39">
        <f t="shared" si="74"/>
        <v>252</v>
      </c>
      <c r="O363" s="39">
        <f t="shared" si="74"/>
        <v>504</v>
      </c>
      <c r="P363" s="39">
        <f t="shared" si="74"/>
        <v>756</v>
      </c>
      <c r="Q363" s="273"/>
      <c r="R363" s="273"/>
      <c r="S363" s="273"/>
      <c r="T363" s="273"/>
    </row>
    <row r="364" spans="1:20" x14ac:dyDescent="0.2">
      <c r="A364" s="269"/>
      <c r="B364" s="269"/>
      <c r="C364" s="269"/>
      <c r="D364" s="269"/>
      <c r="E364" s="269"/>
      <c r="F364" s="269"/>
      <c r="G364" s="269"/>
      <c r="H364" s="269"/>
      <c r="I364" s="269"/>
      <c r="J364" s="269"/>
      <c r="K364" s="151">
        <f>SUM(K363:M363)</f>
        <v>252</v>
      </c>
      <c r="L364" s="151"/>
      <c r="M364" s="151"/>
      <c r="N364" s="151">
        <f>SUM(N363:O363)</f>
        <v>756</v>
      </c>
      <c r="O364" s="151"/>
      <c r="P364" s="151"/>
      <c r="Q364" s="273"/>
      <c r="R364" s="273"/>
      <c r="S364" s="273"/>
      <c r="T364" s="273"/>
    </row>
    <row r="365" spans="1:20" x14ac:dyDescent="0.2">
      <c r="A365" s="23"/>
      <c r="B365" s="23"/>
      <c r="C365" s="23"/>
      <c r="D365" s="23"/>
      <c r="E365" s="23"/>
      <c r="F365" s="23"/>
      <c r="G365" s="23"/>
      <c r="H365" s="23"/>
      <c r="I365" s="23"/>
      <c r="J365" s="23"/>
      <c r="K365" s="23"/>
      <c r="L365" s="23"/>
      <c r="M365" s="23"/>
      <c r="N365" s="23"/>
      <c r="O365" s="23"/>
      <c r="P365" s="23"/>
      <c r="Q365" s="23"/>
      <c r="R365" s="23"/>
      <c r="S365" s="23"/>
      <c r="T365" s="23"/>
    </row>
    <row r="366" spans="1:20" x14ac:dyDescent="0.2">
      <c r="A366" s="152" t="s">
        <v>122</v>
      </c>
      <c r="B366" s="152"/>
      <c r="C366" s="152"/>
      <c r="D366" s="152"/>
      <c r="E366" s="152"/>
      <c r="F366" s="152"/>
      <c r="G366" s="152"/>
      <c r="H366" s="152"/>
      <c r="I366" s="152"/>
      <c r="J366" s="152"/>
      <c r="K366" s="152"/>
      <c r="L366" s="152"/>
      <c r="M366" s="152"/>
      <c r="N366" s="152"/>
      <c r="O366" s="152"/>
      <c r="P366" s="152"/>
      <c r="Q366" s="152"/>
      <c r="R366" s="152"/>
      <c r="S366" s="152"/>
      <c r="T366" s="152"/>
    </row>
    <row r="367" spans="1:20" x14ac:dyDescent="0.2">
      <c r="A367" s="152" t="s">
        <v>123</v>
      </c>
      <c r="B367" s="152"/>
      <c r="C367" s="152"/>
      <c r="D367" s="152"/>
      <c r="E367" s="152"/>
      <c r="F367" s="152"/>
      <c r="G367" s="152"/>
      <c r="H367" s="152"/>
      <c r="I367" s="152"/>
      <c r="J367" s="152"/>
      <c r="K367" s="152"/>
      <c r="L367" s="152"/>
      <c r="M367" s="152"/>
      <c r="N367" s="152"/>
      <c r="O367" s="152"/>
      <c r="P367" s="152"/>
      <c r="Q367" s="152"/>
      <c r="R367" s="152"/>
      <c r="S367" s="152"/>
      <c r="T367" s="152"/>
    </row>
    <row r="368" spans="1:20" x14ac:dyDescent="0.2">
      <c r="A368" s="152" t="s">
        <v>124</v>
      </c>
      <c r="B368" s="152"/>
      <c r="C368" s="152"/>
      <c r="D368" s="152"/>
      <c r="E368" s="152"/>
      <c r="F368" s="152"/>
      <c r="G368" s="152"/>
      <c r="H368" s="152"/>
      <c r="I368" s="152"/>
      <c r="J368" s="152"/>
      <c r="K368" s="152"/>
      <c r="L368" s="152"/>
      <c r="M368" s="152"/>
      <c r="N368" s="152"/>
      <c r="O368" s="152"/>
      <c r="P368" s="152"/>
      <c r="Q368" s="152"/>
      <c r="R368" s="152"/>
      <c r="S368" s="152"/>
      <c r="T368" s="152"/>
    </row>
    <row r="370" spans="1:25" x14ac:dyDescent="0.2">
      <c r="A370" s="153" t="s">
        <v>106</v>
      </c>
      <c r="B370" s="153"/>
      <c r="C370" s="153"/>
      <c r="D370" s="153"/>
      <c r="E370" s="153"/>
      <c r="F370" s="153"/>
      <c r="G370" s="153"/>
      <c r="H370" s="153"/>
      <c r="I370" s="153"/>
      <c r="J370" s="153"/>
      <c r="K370" s="153"/>
      <c r="L370" s="153"/>
      <c r="M370" s="153"/>
      <c r="N370" s="153"/>
      <c r="O370" s="153"/>
      <c r="P370" s="153"/>
      <c r="Q370" s="153"/>
      <c r="R370" s="153"/>
      <c r="S370" s="153"/>
      <c r="T370" s="153"/>
    </row>
    <row r="371" spans="1:25" x14ac:dyDescent="0.2">
      <c r="A371" s="23"/>
      <c r="B371" s="23"/>
      <c r="C371" s="23"/>
      <c r="D371" s="23"/>
      <c r="E371" s="23"/>
      <c r="F371" s="23"/>
      <c r="G371" s="23"/>
      <c r="H371" s="23"/>
      <c r="I371" s="23"/>
      <c r="J371" s="23"/>
      <c r="K371" s="23"/>
      <c r="L371" s="23"/>
      <c r="M371" s="23"/>
      <c r="N371" s="23"/>
      <c r="O371" s="23"/>
      <c r="P371" s="23"/>
      <c r="Q371" s="23"/>
      <c r="R371" s="23"/>
      <c r="S371" s="23"/>
      <c r="T371" s="23"/>
    </row>
    <row r="372" spans="1:25" ht="8.25" customHeight="1" x14ac:dyDescent="0.2">
      <c r="A372" s="104" t="s">
        <v>60</v>
      </c>
      <c r="B372" s="105"/>
      <c r="C372" s="105"/>
      <c r="D372" s="105"/>
      <c r="E372" s="105"/>
      <c r="F372" s="105"/>
      <c r="G372" s="105"/>
      <c r="H372" s="105"/>
      <c r="I372" s="105"/>
      <c r="J372" s="105"/>
      <c r="K372" s="105"/>
      <c r="L372" s="105"/>
      <c r="M372" s="105"/>
      <c r="N372" s="105"/>
      <c r="O372" s="105"/>
      <c r="P372" s="105"/>
      <c r="Q372" s="105"/>
      <c r="R372" s="105"/>
      <c r="S372" s="105"/>
      <c r="T372" s="106"/>
      <c r="U372" s="309" t="s">
        <v>134</v>
      </c>
      <c r="V372" s="309"/>
      <c r="W372" s="309"/>
      <c r="X372" s="309"/>
      <c r="Y372" s="309"/>
    </row>
    <row r="373" spans="1:25" x14ac:dyDescent="0.2">
      <c r="A373" s="107"/>
      <c r="B373" s="108"/>
      <c r="C373" s="108"/>
      <c r="D373" s="108"/>
      <c r="E373" s="108"/>
      <c r="F373" s="108"/>
      <c r="G373" s="108"/>
      <c r="H373" s="108"/>
      <c r="I373" s="108"/>
      <c r="J373" s="108"/>
      <c r="K373" s="108"/>
      <c r="L373" s="108"/>
      <c r="M373" s="108"/>
      <c r="N373" s="108"/>
      <c r="O373" s="108"/>
      <c r="P373" s="108"/>
      <c r="Q373" s="108"/>
      <c r="R373" s="108"/>
      <c r="S373" s="108"/>
      <c r="T373" s="109"/>
      <c r="U373" s="309"/>
      <c r="V373" s="309"/>
      <c r="W373" s="309"/>
      <c r="X373" s="309"/>
      <c r="Y373" s="309"/>
    </row>
    <row r="374" spans="1:25" x14ac:dyDescent="0.2">
      <c r="A374" s="121" t="s">
        <v>24</v>
      </c>
      <c r="B374" s="121" t="s">
        <v>23</v>
      </c>
      <c r="C374" s="121"/>
      <c r="D374" s="121"/>
      <c r="E374" s="121"/>
      <c r="F374" s="121"/>
      <c r="G374" s="121"/>
      <c r="H374" s="121"/>
      <c r="I374" s="121"/>
      <c r="J374" s="121" t="s">
        <v>35</v>
      </c>
      <c r="K374" s="104" t="s">
        <v>21</v>
      </c>
      <c r="L374" s="105"/>
      <c r="M374" s="106"/>
      <c r="N374" s="104" t="s">
        <v>36</v>
      </c>
      <c r="O374" s="105"/>
      <c r="P374" s="106"/>
      <c r="Q374" s="104" t="s">
        <v>20</v>
      </c>
      <c r="R374" s="105"/>
      <c r="S374" s="106"/>
      <c r="T374" s="101" t="s">
        <v>19</v>
      </c>
      <c r="U374" s="309"/>
      <c r="V374" s="309"/>
      <c r="W374" s="309"/>
      <c r="X374" s="309"/>
      <c r="Y374" s="309"/>
    </row>
    <row r="375" spans="1:25" x14ac:dyDescent="0.2">
      <c r="A375" s="121"/>
      <c r="B375" s="121"/>
      <c r="C375" s="121"/>
      <c r="D375" s="121"/>
      <c r="E375" s="121"/>
      <c r="F375" s="121"/>
      <c r="G375" s="121"/>
      <c r="H375" s="121"/>
      <c r="I375" s="121"/>
      <c r="J375" s="121"/>
      <c r="K375" s="107"/>
      <c r="L375" s="108"/>
      <c r="M375" s="109"/>
      <c r="N375" s="107"/>
      <c r="O375" s="108"/>
      <c r="P375" s="109"/>
      <c r="Q375" s="107"/>
      <c r="R375" s="108"/>
      <c r="S375" s="109"/>
      <c r="T375" s="102"/>
      <c r="U375" s="309"/>
      <c r="V375" s="309"/>
      <c r="W375" s="309"/>
      <c r="X375" s="309"/>
      <c r="Y375" s="309"/>
    </row>
    <row r="376" spans="1:25" x14ac:dyDescent="0.2">
      <c r="A376" s="121"/>
      <c r="B376" s="121"/>
      <c r="C376" s="121"/>
      <c r="D376" s="121"/>
      <c r="E376" s="121"/>
      <c r="F376" s="121"/>
      <c r="G376" s="121"/>
      <c r="H376" s="121"/>
      <c r="I376" s="121"/>
      <c r="J376" s="121"/>
      <c r="K376" s="3" t="s">
        <v>25</v>
      </c>
      <c r="L376" s="3" t="s">
        <v>26</v>
      </c>
      <c r="M376" s="3" t="s">
        <v>27</v>
      </c>
      <c r="N376" s="3" t="s">
        <v>31</v>
      </c>
      <c r="O376" s="3" t="s">
        <v>5</v>
      </c>
      <c r="P376" s="3" t="s">
        <v>28</v>
      </c>
      <c r="Q376" s="3" t="s">
        <v>29</v>
      </c>
      <c r="R376" s="3" t="s">
        <v>25</v>
      </c>
      <c r="S376" s="3" t="s">
        <v>30</v>
      </c>
      <c r="T376" s="103"/>
      <c r="U376" s="309"/>
      <c r="V376" s="309"/>
      <c r="W376" s="309"/>
      <c r="X376" s="309"/>
      <c r="Y376" s="309"/>
    </row>
    <row r="377" spans="1:25" x14ac:dyDescent="0.2">
      <c r="A377" s="310" t="s">
        <v>44</v>
      </c>
      <c r="B377" s="310"/>
      <c r="C377" s="310"/>
      <c r="D377" s="310"/>
      <c r="E377" s="310"/>
      <c r="F377" s="310"/>
      <c r="G377" s="310"/>
      <c r="H377" s="310"/>
      <c r="I377" s="310"/>
      <c r="J377" s="310"/>
      <c r="K377" s="310"/>
      <c r="L377" s="310"/>
      <c r="M377" s="310"/>
      <c r="N377" s="310"/>
      <c r="O377" s="310"/>
      <c r="P377" s="310"/>
      <c r="Q377" s="310"/>
      <c r="R377" s="310"/>
      <c r="S377" s="310"/>
      <c r="T377" s="310"/>
      <c r="U377" s="309"/>
      <c r="V377" s="309"/>
      <c r="W377" s="309"/>
      <c r="X377" s="309"/>
      <c r="Y377" s="309"/>
    </row>
    <row r="378" spans="1:25" ht="42.6" customHeight="1" x14ac:dyDescent="0.2">
      <c r="A378" s="40" t="s">
        <v>107</v>
      </c>
      <c r="B378" s="274" t="s">
        <v>136</v>
      </c>
      <c r="C378" s="274"/>
      <c r="D378" s="274"/>
      <c r="E378" s="274"/>
      <c r="F378" s="274"/>
      <c r="G378" s="274"/>
      <c r="H378" s="274"/>
      <c r="I378" s="274"/>
      <c r="J378" s="18">
        <v>5</v>
      </c>
      <c r="K378" s="18">
        <v>2</v>
      </c>
      <c r="L378" s="18">
        <v>1</v>
      </c>
      <c r="M378" s="18">
        <v>0</v>
      </c>
      <c r="N378" s="43">
        <f>K378+L378+M378</f>
        <v>3</v>
      </c>
      <c r="O378" s="43">
        <f>P378-N378</f>
        <v>6</v>
      </c>
      <c r="P378" s="43">
        <f>ROUND(PRODUCT(J378,25)/14,0)</f>
        <v>9</v>
      </c>
      <c r="Q378" s="18" t="s">
        <v>29</v>
      </c>
      <c r="R378" s="18"/>
      <c r="S378" s="18"/>
      <c r="T378" s="18" t="s">
        <v>87</v>
      </c>
      <c r="U378" s="309"/>
      <c r="V378" s="309"/>
      <c r="W378" s="309"/>
      <c r="X378" s="309"/>
      <c r="Y378" s="309"/>
    </row>
    <row r="379" spans="1:25" ht="42.6" customHeight="1" x14ac:dyDescent="0.2">
      <c r="A379" s="40" t="s">
        <v>109</v>
      </c>
      <c r="B379" s="274" t="s">
        <v>137</v>
      </c>
      <c r="C379" s="274"/>
      <c r="D379" s="274"/>
      <c r="E379" s="274"/>
      <c r="F379" s="274"/>
      <c r="G379" s="274"/>
      <c r="H379" s="274"/>
      <c r="I379" s="274"/>
      <c r="J379" s="18">
        <v>5</v>
      </c>
      <c r="K379" s="18">
        <v>2</v>
      </c>
      <c r="L379" s="18">
        <v>1</v>
      </c>
      <c r="M379" s="18">
        <v>0</v>
      </c>
      <c r="N379" s="43">
        <f>K379+L379+M379</f>
        <v>3</v>
      </c>
      <c r="O379" s="43">
        <f>P379-N379</f>
        <v>6</v>
      </c>
      <c r="P379" s="43">
        <f>ROUND(PRODUCT(J379,25)/14,0)</f>
        <v>9</v>
      </c>
      <c r="Q379" s="18" t="s">
        <v>29</v>
      </c>
      <c r="R379" s="18"/>
      <c r="S379" s="18"/>
      <c r="T379" s="18" t="s">
        <v>87</v>
      </c>
    </row>
    <row r="380" spans="1:25" x14ac:dyDescent="0.2">
      <c r="A380" s="166" t="s">
        <v>45</v>
      </c>
      <c r="B380" s="167"/>
      <c r="C380" s="167"/>
      <c r="D380" s="167"/>
      <c r="E380" s="167"/>
      <c r="F380" s="167"/>
      <c r="G380" s="167"/>
      <c r="H380" s="167"/>
      <c r="I380" s="167"/>
      <c r="J380" s="167"/>
      <c r="K380" s="167"/>
      <c r="L380" s="167"/>
      <c r="M380" s="167"/>
      <c r="N380" s="167"/>
      <c r="O380" s="167"/>
      <c r="P380" s="167"/>
      <c r="Q380" s="167"/>
      <c r="R380" s="167"/>
      <c r="S380" s="167"/>
      <c r="T380" s="168"/>
    </row>
    <row r="381" spans="1:25" ht="70.7" customHeight="1" x14ac:dyDescent="0.2">
      <c r="A381" s="40" t="s">
        <v>111</v>
      </c>
      <c r="B381" s="266" t="s">
        <v>138</v>
      </c>
      <c r="C381" s="267"/>
      <c r="D381" s="267"/>
      <c r="E381" s="267"/>
      <c r="F381" s="267"/>
      <c r="G381" s="267"/>
      <c r="H381" s="267"/>
      <c r="I381" s="268"/>
      <c r="J381" s="18">
        <v>5</v>
      </c>
      <c r="K381" s="18">
        <v>2</v>
      </c>
      <c r="L381" s="18">
        <v>1</v>
      </c>
      <c r="M381" s="18">
        <v>0</v>
      </c>
      <c r="N381" s="43">
        <f>K381+L381+M381</f>
        <v>3</v>
      </c>
      <c r="O381" s="43">
        <f>P381-N381</f>
        <v>6</v>
      </c>
      <c r="P381" s="43">
        <f>ROUND(PRODUCT(J381,25)/14,0)</f>
        <v>9</v>
      </c>
      <c r="Q381" s="18" t="s">
        <v>29</v>
      </c>
      <c r="R381" s="18"/>
      <c r="S381" s="18"/>
      <c r="T381" s="18" t="s">
        <v>113</v>
      </c>
    </row>
    <row r="382" spans="1:25" ht="19.7" customHeight="1" x14ac:dyDescent="0.2">
      <c r="A382" s="40" t="s">
        <v>114</v>
      </c>
      <c r="B382" s="266" t="s">
        <v>139</v>
      </c>
      <c r="C382" s="267"/>
      <c r="D382" s="267"/>
      <c r="E382" s="267"/>
      <c r="F382" s="267"/>
      <c r="G382" s="267"/>
      <c r="H382" s="267"/>
      <c r="I382" s="268"/>
      <c r="J382" s="18">
        <v>5</v>
      </c>
      <c r="K382" s="18">
        <v>1</v>
      </c>
      <c r="L382" s="18">
        <v>2</v>
      </c>
      <c r="M382" s="18">
        <v>0</v>
      </c>
      <c r="N382" s="43">
        <f>K382+L382+M382</f>
        <v>3</v>
      </c>
      <c r="O382" s="43">
        <f>P382-N382</f>
        <v>6</v>
      </c>
      <c r="P382" s="43">
        <f>ROUND(PRODUCT(J382,25)/14,0)</f>
        <v>9</v>
      </c>
      <c r="Q382" s="18" t="s">
        <v>29</v>
      </c>
      <c r="R382" s="18"/>
      <c r="S382" s="18"/>
      <c r="T382" s="18" t="s">
        <v>116</v>
      </c>
    </row>
    <row r="383" spans="1:25" x14ac:dyDescent="0.2">
      <c r="A383" s="166" t="s">
        <v>46</v>
      </c>
      <c r="B383" s="167"/>
      <c r="C383" s="167"/>
      <c r="D383" s="167"/>
      <c r="E383" s="167"/>
      <c r="F383" s="167"/>
      <c r="G383" s="167"/>
      <c r="H383" s="167"/>
      <c r="I383" s="167"/>
      <c r="J383" s="167"/>
      <c r="K383" s="167"/>
      <c r="L383" s="167"/>
      <c r="M383" s="167"/>
      <c r="N383" s="167"/>
      <c r="O383" s="167"/>
      <c r="P383" s="167"/>
      <c r="Q383" s="167"/>
      <c r="R383" s="167"/>
      <c r="S383" s="167"/>
      <c r="T383" s="168"/>
    </row>
    <row r="384" spans="1:25" ht="56.85" customHeight="1" x14ac:dyDescent="0.2">
      <c r="A384" s="40" t="s">
        <v>117</v>
      </c>
      <c r="B384" s="270" t="s">
        <v>140</v>
      </c>
      <c r="C384" s="271"/>
      <c r="D384" s="271"/>
      <c r="E384" s="271"/>
      <c r="F384" s="271"/>
      <c r="G384" s="271"/>
      <c r="H384" s="271"/>
      <c r="I384" s="272"/>
      <c r="J384" s="18">
        <v>5</v>
      </c>
      <c r="K384" s="18">
        <v>0</v>
      </c>
      <c r="L384" s="18">
        <v>0</v>
      </c>
      <c r="M384" s="18">
        <v>3</v>
      </c>
      <c r="N384" s="43">
        <f>K384+L384+M384</f>
        <v>3</v>
      </c>
      <c r="O384" s="43">
        <f>P384-N384</f>
        <v>6</v>
      </c>
      <c r="P384" s="43">
        <f>ROUND(PRODUCT(J384,25)/14,0)</f>
        <v>9</v>
      </c>
      <c r="Q384" s="18"/>
      <c r="R384" s="18" t="s">
        <v>25</v>
      </c>
      <c r="S384" s="18"/>
      <c r="T384" s="18" t="s">
        <v>113</v>
      </c>
    </row>
    <row r="385" spans="1:20" ht="19.7" customHeight="1" x14ac:dyDescent="0.2">
      <c r="A385" s="40" t="s">
        <v>119</v>
      </c>
      <c r="B385" s="266" t="s">
        <v>141</v>
      </c>
      <c r="C385" s="267"/>
      <c r="D385" s="267"/>
      <c r="E385" s="267"/>
      <c r="F385" s="267"/>
      <c r="G385" s="267"/>
      <c r="H385" s="267"/>
      <c r="I385" s="268"/>
      <c r="J385" s="18">
        <v>5</v>
      </c>
      <c r="K385" s="18">
        <v>1</v>
      </c>
      <c r="L385" s="18">
        <v>2</v>
      </c>
      <c r="M385" s="18">
        <v>0</v>
      </c>
      <c r="N385" s="43">
        <f>K385+L385+M385</f>
        <v>3</v>
      </c>
      <c r="O385" s="43">
        <f>P385-N385</f>
        <v>6</v>
      </c>
      <c r="P385" s="43">
        <f>ROUND(PRODUCT(J385,25)/14,0)</f>
        <v>9</v>
      </c>
      <c r="Q385" s="18" t="s">
        <v>29</v>
      </c>
      <c r="R385" s="18"/>
      <c r="S385" s="18"/>
      <c r="T385" s="18" t="s">
        <v>116</v>
      </c>
    </row>
    <row r="386" spans="1:20" x14ac:dyDescent="0.2">
      <c r="A386" s="263" t="s">
        <v>47</v>
      </c>
      <c r="B386" s="264"/>
      <c r="C386" s="264"/>
      <c r="D386" s="264"/>
      <c r="E386" s="264"/>
      <c r="F386" s="264"/>
      <c r="G386" s="264"/>
      <c r="H386" s="264"/>
      <c r="I386" s="264"/>
      <c r="J386" s="264"/>
      <c r="K386" s="264"/>
      <c r="L386" s="264"/>
      <c r="M386" s="264"/>
      <c r="N386" s="264"/>
      <c r="O386" s="264"/>
      <c r="P386" s="264"/>
      <c r="Q386" s="264"/>
      <c r="R386" s="264"/>
      <c r="S386" s="264"/>
      <c r="T386" s="265"/>
    </row>
    <row r="387" spans="1:20" ht="28.35" customHeight="1" x14ac:dyDescent="0.2">
      <c r="A387" s="40"/>
      <c r="B387" s="266" t="s">
        <v>142</v>
      </c>
      <c r="C387" s="267"/>
      <c r="D387" s="267"/>
      <c r="E387" s="267"/>
      <c r="F387" s="267"/>
      <c r="G387" s="267"/>
      <c r="H387" s="267"/>
      <c r="I387" s="268"/>
      <c r="J387" s="18">
        <v>5</v>
      </c>
      <c r="K387" s="18"/>
      <c r="L387" s="18"/>
      <c r="M387" s="18"/>
      <c r="N387" s="43"/>
      <c r="O387" s="43"/>
      <c r="P387" s="43"/>
      <c r="Q387" s="18"/>
      <c r="R387" s="18"/>
      <c r="S387" s="18"/>
      <c r="T387" s="46"/>
    </row>
    <row r="388" spans="1:20" x14ac:dyDescent="0.2">
      <c r="A388" s="269" t="s">
        <v>59</v>
      </c>
      <c r="B388" s="269"/>
      <c r="C388" s="269"/>
      <c r="D388" s="269"/>
      <c r="E388" s="269"/>
      <c r="F388" s="269"/>
      <c r="G388" s="269"/>
      <c r="H388" s="269"/>
      <c r="I388" s="269"/>
      <c r="J388" s="39">
        <f>SUM(J378:J379,J381:J382,J384:J385,J387)</f>
        <v>35</v>
      </c>
      <c r="K388" s="39">
        <f t="shared" ref="K388:P388" si="75">SUM(K378:K379,K381:K382,K384:K385,K387)</f>
        <v>8</v>
      </c>
      <c r="L388" s="39">
        <f t="shared" si="75"/>
        <v>7</v>
      </c>
      <c r="M388" s="39">
        <f t="shared" si="75"/>
        <v>3</v>
      </c>
      <c r="N388" s="39">
        <f t="shared" si="75"/>
        <v>18</v>
      </c>
      <c r="O388" s="39">
        <f t="shared" si="75"/>
        <v>36</v>
      </c>
      <c r="P388" s="39">
        <f t="shared" si="75"/>
        <v>54</v>
      </c>
      <c r="Q388" s="44">
        <f>COUNTIF(Q378:Q379,"E")+COUNTIF(Q381:Q382,"E")+COUNTIF(Q384:Q385,"E")+COUNTIF(Q387,"E")</f>
        <v>5</v>
      </c>
      <c r="R388" s="44">
        <f>COUNTIF(R378:R379,"C")+COUNTIF(R381:R382,"C")+COUNTIF(R384:R385,"C")+COUNTIF(R387,"C")</f>
        <v>1</v>
      </c>
      <c r="S388" s="44">
        <f>COUNTIF(S378:S379,"VP")+COUNTIF(S381:S382,"VP")+COUNTIF(S384:S385,"VP")+COUNTIF(S387,"VP")</f>
        <v>0</v>
      </c>
      <c r="T388" s="45"/>
    </row>
    <row r="389" spans="1:20" x14ac:dyDescent="0.2">
      <c r="A389" s="269" t="s">
        <v>43</v>
      </c>
      <c r="B389" s="269"/>
      <c r="C389" s="269"/>
      <c r="D389" s="269"/>
      <c r="E389" s="269"/>
      <c r="F389" s="269"/>
      <c r="G389" s="269"/>
      <c r="H389" s="269"/>
      <c r="I389" s="269"/>
      <c r="J389" s="269"/>
      <c r="K389" s="39">
        <f>SUM(K378:K379,K381:K382,K384:K385)*14</f>
        <v>112</v>
      </c>
      <c r="L389" s="39">
        <f t="shared" ref="L389:P389" si="76">SUM(L378:L379,L381:L382,L384:L385)*14</f>
        <v>98</v>
      </c>
      <c r="M389" s="39">
        <f t="shared" si="76"/>
        <v>42</v>
      </c>
      <c r="N389" s="39">
        <f t="shared" si="76"/>
        <v>252</v>
      </c>
      <c r="O389" s="39">
        <f t="shared" si="76"/>
        <v>504</v>
      </c>
      <c r="P389" s="39">
        <f t="shared" si="76"/>
        <v>756</v>
      </c>
      <c r="Q389" s="273"/>
      <c r="R389" s="273"/>
      <c r="S389" s="273"/>
      <c r="T389" s="273"/>
    </row>
    <row r="390" spans="1:20" x14ac:dyDescent="0.2">
      <c r="A390" s="269"/>
      <c r="B390" s="269"/>
      <c r="C390" s="269"/>
      <c r="D390" s="269"/>
      <c r="E390" s="269"/>
      <c r="F390" s="269"/>
      <c r="G390" s="269"/>
      <c r="H390" s="269"/>
      <c r="I390" s="269"/>
      <c r="J390" s="269"/>
      <c r="K390" s="151">
        <f>SUM(K389:M389)</f>
        <v>252</v>
      </c>
      <c r="L390" s="151"/>
      <c r="M390" s="151"/>
      <c r="N390" s="151">
        <f>SUM(N389:O389)</f>
        <v>756</v>
      </c>
      <c r="O390" s="151"/>
      <c r="P390" s="151"/>
      <c r="Q390" s="273"/>
      <c r="R390" s="273"/>
      <c r="S390" s="273"/>
      <c r="T390" s="273"/>
    </row>
    <row r="391" spans="1:20" ht="9" customHeight="1" x14ac:dyDescent="0.2">
      <c r="A391" s="23"/>
      <c r="B391" s="23"/>
      <c r="C391" s="23"/>
      <c r="D391" s="23"/>
      <c r="E391" s="23"/>
      <c r="F391" s="23"/>
      <c r="G391" s="23"/>
      <c r="H391" s="23"/>
      <c r="I391" s="23"/>
      <c r="J391" s="23"/>
      <c r="K391" s="23"/>
      <c r="L391" s="23"/>
      <c r="M391" s="23"/>
      <c r="N391" s="23"/>
      <c r="O391" s="23"/>
      <c r="P391" s="23"/>
      <c r="Q391" s="23"/>
      <c r="R391" s="23"/>
      <c r="S391" s="23"/>
      <c r="T391" s="23"/>
    </row>
    <row r="392" spans="1:20" x14ac:dyDescent="0.2">
      <c r="A392" s="152" t="s">
        <v>122</v>
      </c>
      <c r="B392" s="152"/>
      <c r="C392" s="152"/>
      <c r="D392" s="152"/>
      <c r="E392" s="152"/>
      <c r="F392" s="152"/>
      <c r="G392" s="152"/>
      <c r="H392" s="152"/>
      <c r="I392" s="152"/>
      <c r="J392" s="152"/>
      <c r="K392" s="152"/>
      <c r="L392" s="152"/>
      <c r="M392" s="152"/>
      <c r="N392" s="152"/>
      <c r="O392" s="152"/>
      <c r="P392" s="152"/>
      <c r="Q392" s="152"/>
      <c r="R392" s="152"/>
      <c r="S392" s="152"/>
      <c r="T392" s="152"/>
    </row>
    <row r="393" spans="1:20" x14ac:dyDescent="0.2">
      <c r="A393" s="152" t="s">
        <v>123</v>
      </c>
      <c r="B393" s="152"/>
      <c r="C393" s="152"/>
      <c r="D393" s="152"/>
      <c r="E393" s="152"/>
      <c r="F393" s="152"/>
      <c r="G393" s="152"/>
      <c r="H393" s="152"/>
      <c r="I393" s="152"/>
      <c r="J393" s="152"/>
      <c r="K393" s="152"/>
      <c r="L393" s="152"/>
      <c r="M393" s="152"/>
      <c r="N393" s="152"/>
      <c r="O393" s="152"/>
      <c r="P393" s="152"/>
      <c r="Q393" s="152"/>
      <c r="R393" s="152"/>
      <c r="S393" s="152"/>
      <c r="T393" s="152"/>
    </row>
    <row r="394" spans="1:20" x14ac:dyDescent="0.2">
      <c r="A394" s="152" t="s">
        <v>124</v>
      </c>
      <c r="B394" s="152"/>
      <c r="C394" s="152"/>
      <c r="D394" s="152"/>
      <c r="E394" s="152"/>
      <c r="F394" s="152"/>
      <c r="G394" s="152"/>
      <c r="H394" s="152"/>
      <c r="I394" s="152"/>
      <c r="J394" s="152"/>
      <c r="K394" s="152"/>
      <c r="L394" s="152"/>
      <c r="M394" s="152"/>
      <c r="N394" s="152"/>
      <c r="O394" s="152"/>
      <c r="P394" s="152"/>
      <c r="Q394" s="152"/>
      <c r="R394" s="152"/>
      <c r="S394" s="152"/>
      <c r="T394" s="152"/>
    </row>
  </sheetData>
  <sheetProtection deleteColumns="0" deleteRows="0" selectLockedCells="1" selectUnlockedCells="1"/>
  <dataConsolidate/>
  <mergeCells count="449">
    <mergeCell ref="B223:I223"/>
    <mergeCell ref="A224:T224"/>
    <mergeCell ref="B226:I226"/>
    <mergeCell ref="U224:W225"/>
    <mergeCell ref="O288:Q289"/>
    <mergeCell ref="R288:T289"/>
    <mergeCell ref="R280:S280"/>
    <mergeCell ref="R281:S281"/>
    <mergeCell ref="R282:S282"/>
    <mergeCell ref="R283:S283"/>
    <mergeCell ref="U282:X282"/>
    <mergeCell ref="A279:A280"/>
    <mergeCell ref="B281:G281"/>
    <mergeCell ref="B239:I239"/>
    <mergeCell ref="N271:P271"/>
    <mergeCell ref="P282:Q282"/>
    <mergeCell ref="N282:O282"/>
    <mergeCell ref="N280:O280"/>
    <mergeCell ref="J282:K282"/>
    <mergeCell ref="H282:I282"/>
    <mergeCell ref="A266:T266"/>
    <mergeCell ref="U346:Y352"/>
    <mergeCell ref="U372:Y378"/>
    <mergeCell ref="A374:A376"/>
    <mergeCell ref="B374:I376"/>
    <mergeCell ref="J374:J376"/>
    <mergeCell ref="K374:M375"/>
    <mergeCell ref="N374:P375"/>
    <mergeCell ref="Q374:S375"/>
    <mergeCell ref="T374:T376"/>
    <mergeCell ref="A377:T377"/>
    <mergeCell ref="B378:I378"/>
    <mergeCell ref="A351:T351"/>
    <mergeCell ref="B352:I352"/>
    <mergeCell ref="B353:I353"/>
    <mergeCell ref="A354:T354"/>
    <mergeCell ref="B355:I355"/>
    <mergeCell ref="B356:I356"/>
    <mergeCell ref="A357:T357"/>
    <mergeCell ref="B358:I358"/>
    <mergeCell ref="B359:I359"/>
    <mergeCell ref="A346:T347"/>
    <mergeCell ref="A348:A350"/>
    <mergeCell ref="B348:I350"/>
    <mergeCell ref="J348:J350"/>
    <mergeCell ref="K348:M349"/>
    <mergeCell ref="N348:P349"/>
    <mergeCell ref="Q348:S349"/>
    <mergeCell ref="T348:T350"/>
    <mergeCell ref="A334:J335"/>
    <mergeCell ref="K335:M335"/>
    <mergeCell ref="N335:P335"/>
    <mergeCell ref="A337:T337"/>
    <mergeCell ref="A339:T339"/>
    <mergeCell ref="A344:T344"/>
    <mergeCell ref="Q334:T335"/>
    <mergeCell ref="A331:T331"/>
    <mergeCell ref="Q319:S320"/>
    <mergeCell ref="B329:I329"/>
    <mergeCell ref="B330:I330"/>
    <mergeCell ref="B332:I332"/>
    <mergeCell ref="A333:I333"/>
    <mergeCell ref="B323:I323"/>
    <mergeCell ref="B324:I324"/>
    <mergeCell ref="B326:I326"/>
    <mergeCell ref="B327:I327"/>
    <mergeCell ref="AB302:AD302"/>
    <mergeCell ref="AB303:AD303"/>
    <mergeCell ref="U304:V304"/>
    <mergeCell ref="W304:X304"/>
    <mergeCell ref="Y304:AA304"/>
    <mergeCell ref="U305:V305"/>
    <mergeCell ref="W305:X305"/>
    <mergeCell ref="Y305:AA305"/>
    <mergeCell ref="U306:AA309"/>
    <mergeCell ref="U302:V302"/>
    <mergeCell ref="W302:X302"/>
    <mergeCell ref="Y302:AA302"/>
    <mergeCell ref="U303:V303"/>
    <mergeCell ref="W303:X303"/>
    <mergeCell ref="Y303:AA303"/>
    <mergeCell ref="U317:Y323"/>
    <mergeCell ref="A322:T322"/>
    <mergeCell ref="I292:J292"/>
    <mergeCell ref="A293:H293"/>
    <mergeCell ref="I293:J293"/>
    <mergeCell ref="K290:N290"/>
    <mergeCell ref="K291:N291"/>
    <mergeCell ref="K292:N292"/>
    <mergeCell ref="K293:N293"/>
    <mergeCell ref="O292:Q292"/>
    <mergeCell ref="O293:Q293"/>
    <mergeCell ref="A315:T315"/>
    <mergeCell ref="A319:A321"/>
    <mergeCell ref="B319:I321"/>
    <mergeCell ref="J319:J321"/>
    <mergeCell ref="A317:T318"/>
    <mergeCell ref="K319:M320"/>
    <mergeCell ref="N319:P320"/>
    <mergeCell ref="T319:T321"/>
    <mergeCell ref="A297:N297"/>
    <mergeCell ref="U298:AA299"/>
    <mergeCell ref="U300:V301"/>
    <mergeCell ref="W300:X301"/>
    <mergeCell ref="Y300:AA301"/>
    <mergeCell ref="M298:N298"/>
    <mergeCell ref="M300:N300"/>
    <mergeCell ref="U290:Y290"/>
    <mergeCell ref="U292:Y292"/>
    <mergeCell ref="N283:O283"/>
    <mergeCell ref="L283:M283"/>
    <mergeCell ref="K288:N289"/>
    <mergeCell ref="H283:I283"/>
    <mergeCell ref="A283:G283"/>
    <mergeCell ref="A288:H289"/>
    <mergeCell ref="I288:J289"/>
    <mergeCell ref="B267:I267"/>
    <mergeCell ref="B268:I268"/>
    <mergeCell ref="B248:I248"/>
    <mergeCell ref="A256:J257"/>
    <mergeCell ref="B245:I245"/>
    <mergeCell ref="B242:I242"/>
    <mergeCell ref="B249:I249"/>
    <mergeCell ref="A250:T250"/>
    <mergeCell ref="A255:I255"/>
    <mergeCell ref="B243:I243"/>
    <mergeCell ref="K257:M257"/>
    <mergeCell ref="Q263:S264"/>
    <mergeCell ref="A261:T262"/>
    <mergeCell ref="K263:M264"/>
    <mergeCell ref="T263:T265"/>
    <mergeCell ref="N263:P264"/>
    <mergeCell ref="B263:I265"/>
    <mergeCell ref="J263:J265"/>
    <mergeCell ref="A263:A265"/>
    <mergeCell ref="B246:I246"/>
    <mergeCell ref="B247:I247"/>
    <mergeCell ref="B241:I241"/>
    <mergeCell ref="B251:I251"/>
    <mergeCell ref="B253:I253"/>
    <mergeCell ref="K230:T230"/>
    <mergeCell ref="K231:T231"/>
    <mergeCell ref="B252:I252"/>
    <mergeCell ref="A233:T234"/>
    <mergeCell ref="A259:J259"/>
    <mergeCell ref="A258:J258"/>
    <mergeCell ref="K258:T258"/>
    <mergeCell ref="A230:J230"/>
    <mergeCell ref="A231:J231"/>
    <mergeCell ref="Q256:T257"/>
    <mergeCell ref="N257:P257"/>
    <mergeCell ref="K259:T259"/>
    <mergeCell ref="A238:T238"/>
    <mergeCell ref="B235:I237"/>
    <mergeCell ref="J235:J237"/>
    <mergeCell ref="B254:I254"/>
    <mergeCell ref="B244:I244"/>
    <mergeCell ref="B240:I240"/>
    <mergeCell ref="A269:I269"/>
    <mergeCell ref="A270:J271"/>
    <mergeCell ref="K273:T273"/>
    <mergeCell ref="L282:M282"/>
    <mergeCell ref="B282:G282"/>
    <mergeCell ref="A278:T278"/>
    <mergeCell ref="A272:J272"/>
    <mergeCell ref="A273:J273"/>
    <mergeCell ref="R279:T279"/>
    <mergeCell ref="J279:O279"/>
    <mergeCell ref="H279:I280"/>
    <mergeCell ref="J280:K280"/>
    <mergeCell ref="P279:Q280"/>
    <mergeCell ref="L280:M280"/>
    <mergeCell ref="B279:G280"/>
    <mergeCell ref="P281:Q281"/>
    <mergeCell ref="N281:O281"/>
    <mergeCell ref="L281:M281"/>
    <mergeCell ref="J281:K281"/>
    <mergeCell ref="H281:I281"/>
    <mergeCell ref="K272:T272"/>
    <mergeCell ref="Q270:T271"/>
    <mergeCell ref="A394:T394"/>
    <mergeCell ref="A360:T360"/>
    <mergeCell ref="B361:I361"/>
    <mergeCell ref="A362:I362"/>
    <mergeCell ref="A380:T380"/>
    <mergeCell ref="B381:I381"/>
    <mergeCell ref="B382:I382"/>
    <mergeCell ref="A383:T383"/>
    <mergeCell ref="B384:I384"/>
    <mergeCell ref="B385:I385"/>
    <mergeCell ref="A386:T386"/>
    <mergeCell ref="B387:I387"/>
    <mergeCell ref="A388:I388"/>
    <mergeCell ref="A389:J390"/>
    <mergeCell ref="Q389:T390"/>
    <mergeCell ref="A372:T373"/>
    <mergeCell ref="B379:I379"/>
    <mergeCell ref="K390:M390"/>
    <mergeCell ref="N390:P390"/>
    <mergeCell ref="A392:T392"/>
    <mergeCell ref="A393:T393"/>
    <mergeCell ref="A363:J364"/>
    <mergeCell ref="Q363:T364"/>
    <mergeCell ref="K364:M364"/>
    <mergeCell ref="B174:I174"/>
    <mergeCell ref="K132:M133"/>
    <mergeCell ref="P283:Q283"/>
    <mergeCell ref="U141:W141"/>
    <mergeCell ref="U153:W153"/>
    <mergeCell ref="U165:W165"/>
    <mergeCell ref="B132:I134"/>
    <mergeCell ref="N132:P133"/>
    <mergeCell ref="Q132:S133"/>
    <mergeCell ref="K144:M145"/>
    <mergeCell ref="B148:I148"/>
    <mergeCell ref="B141:I141"/>
    <mergeCell ref="T158:T160"/>
    <mergeCell ref="A156:T157"/>
    <mergeCell ref="N182:P182"/>
    <mergeCell ref="A158:A160"/>
    <mergeCell ref="B158:I160"/>
    <mergeCell ref="B220:I220"/>
    <mergeCell ref="A216:T216"/>
    <mergeCell ref="K271:M271"/>
    <mergeCell ref="J283:K283"/>
    <mergeCell ref="B176:I176"/>
    <mergeCell ref="B177:T177"/>
    <mergeCell ref="Q181:T182"/>
    <mergeCell ref="A180:I180"/>
    <mergeCell ref="B178:I178"/>
    <mergeCell ref="K182:M182"/>
    <mergeCell ref="A183:J183"/>
    <mergeCell ref="A184:J184"/>
    <mergeCell ref="B194:I195"/>
    <mergeCell ref="J194:J195"/>
    <mergeCell ref="K194:K195"/>
    <mergeCell ref="L194:L195"/>
    <mergeCell ref="M194:M195"/>
    <mergeCell ref="A187:T188"/>
    <mergeCell ref="A209:T210"/>
    <mergeCell ref="A211:T212"/>
    <mergeCell ref="K213:M214"/>
    <mergeCell ref="N213:P214"/>
    <mergeCell ref="Q213:S214"/>
    <mergeCell ref="T213:T215"/>
    <mergeCell ref="B218:I218"/>
    <mergeCell ref="B219:I219"/>
    <mergeCell ref="A189:A191"/>
    <mergeCell ref="B189:I191"/>
    <mergeCell ref="N194:N195"/>
    <mergeCell ref="O194:O195"/>
    <mergeCell ref="K189:M190"/>
    <mergeCell ref="N189:P190"/>
    <mergeCell ref="Q189:S190"/>
    <mergeCell ref="B213:I215"/>
    <mergeCell ref="J213:J215"/>
    <mergeCell ref="A213:A215"/>
    <mergeCell ref="Q144:S145"/>
    <mergeCell ref="B138:I138"/>
    <mergeCell ref="T119:T121"/>
    <mergeCell ref="K158:M159"/>
    <mergeCell ref="B165:I165"/>
    <mergeCell ref="N119:P120"/>
    <mergeCell ref="B119:I121"/>
    <mergeCell ref="M21:T25"/>
    <mergeCell ref="J119:J121"/>
    <mergeCell ref="B150:I150"/>
    <mergeCell ref="A35:J70"/>
    <mergeCell ref="K35:T70"/>
    <mergeCell ref="A71:J84"/>
    <mergeCell ref="A1:K1"/>
    <mergeCell ref="A3:K3"/>
    <mergeCell ref="B126:I126"/>
    <mergeCell ref="B127:I127"/>
    <mergeCell ref="B173:T173"/>
    <mergeCell ref="A132:A134"/>
    <mergeCell ref="B135:I135"/>
    <mergeCell ref="B136:I136"/>
    <mergeCell ref="M15:T15"/>
    <mergeCell ref="A18:K18"/>
    <mergeCell ref="A2:K2"/>
    <mergeCell ref="O5:Q5"/>
    <mergeCell ref="O3:Q3"/>
    <mergeCell ref="O4:Q4"/>
    <mergeCell ref="M4:N4"/>
    <mergeCell ref="A10:K10"/>
    <mergeCell ref="A8:K8"/>
    <mergeCell ref="R5:T5"/>
    <mergeCell ref="A11:K11"/>
    <mergeCell ref="K119:M120"/>
    <mergeCell ref="M2:T2"/>
    <mergeCell ref="A7:K7"/>
    <mergeCell ref="M8:T10"/>
    <mergeCell ref="A115:T116"/>
    <mergeCell ref="M3:N3"/>
    <mergeCell ref="M5:N5"/>
    <mergeCell ref="P194:P195"/>
    <mergeCell ref="A201:T204"/>
    <mergeCell ref="A197:J198"/>
    <mergeCell ref="Q197:T198"/>
    <mergeCell ref="B193:I193"/>
    <mergeCell ref="Q194:Q195"/>
    <mergeCell ref="K198:M198"/>
    <mergeCell ref="N198:P198"/>
    <mergeCell ref="A199:J199"/>
    <mergeCell ref="K199:T199"/>
    <mergeCell ref="A200:J200"/>
    <mergeCell ref="S194:S195"/>
    <mergeCell ref="A194:A195"/>
    <mergeCell ref="A196:I196"/>
    <mergeCell ref="K200:T200"/>
    <mergeCell ref="B149:I149"/>
    <mergeCell ref="B124:I124"/>
    <mergeCell ref="B122:I122"/>
    <mergeCell ref="I28:K29"/>
    <mergeCell ref="B137:I137"/>
    <mergeCell ref="A12:K12"/>
    <mergeCell ref="A16:K16"/>
    <mergeCell ref="U3:X3"/>
    <mergeCell ref="U4:X4"/>
    <mergeCell ref="U5:X5"/>
    <mergeCell ref="U6:X6"/>
    <mergeCell ref="U10:X16"/>
    <mergeCell ref="K184:T184"/>
    <mergeCell ref="A119:A121"/>
    <mergeCell ref="R3:T3"/>
    <mergeCell ref="R4:T4"/>
    <mergeCell ref="A19:K19"/>
    <mergeCell ref="A4:K4"/>
    <mergeCell ref="A168:T169"/>
    <mergeCell ref="K183:T183"/>
    <mergeCell ref="A181:J182"/>
    <mergeCell ref="U135:W135"/>
    <mergeCell ref="U122:W122"/>
    <mergeCell ref="B125:I125"/>
    <mergeCell ref="B123:I123"/>
    <mergeCell ref="N158:P159"/>
    <mergeCell ref="B164:I164"/>
    <mergeCell ref="B162:I162"/>
    <mergeCell ref="J158:J160"/>
    <mergeCell ref="J132:J134"/>
    <mergeCell ref="B147:I147"/>
    <mergeCell ref="A228:J229"/>
    <mergeCell ref="A227:I227"/>
    <mergeCell ref="K235:M236"/>
    <mergeCell ref="A235:A237"/>
    <mergeCell ref="T235:T237"/>
    <mergeCell ref="Q228:T229"/>
    <mergeCell ref="N229:P229"/>
    <mergeCell ref="K229:M229"/>
    <mergeCell ref="N235:P236"/>
    <mergeCell ref="Q235:S236"/>
    <mergeCell ref="N364:P364"/>
    <mergeCell ref="A366:T366"/>
    <mergeCell ref="A367:T367"/>
    <mergeCell ref="A368:T368"/>
    <mergeCell ref="A370:T370"/>
    <mergeCell ref="A292:G292"/>
    <mergeCell ref="A338:T338"/>
    <mergeCell ref="R290:T290"/>
    <mergeCell ref="A287:T287"/>
    <mergeCell ref="A290:G290"/>
    <mergeCell ref="A291:G291"/>
    <mergeCell ref="O290:Q290"/>
    <mergeCell ref="O291:Q291"/>
    <mergeCell ref="R291:T291"/>
    <mergeCell ref="R292:T292"/>
    <mergeCell ref="R293:T293"/>
    <mergeCell ref="M299:N299"/>
    <mergeCell ref="I290:J290"/>
    <mergeCell ref="I291:J291"/>
    <mergeCell ref="A325:T325"/>
    <mergeCell ref="A328:T328"/>
    <mergeCell ref="A299:L299"/>
    <mergeCell ref="A298:L298"/>
    <mergeCell ref="A300:L300"/>
    <mergeCell ref="B221:I221"/>
    <mergeCell ref="B217:I217"/>
    <mergeCell ref="B225:I225"/>
    <mergeCell ref="U161:W161"/>
    <mergeCell ref="B151:I151"/>
    <mergeCell ref="B152:I152"/>
    <mergeCell ref="B153:I153"/>
    <mergeCell ref="B161:I161"/>
    <mergeCell ref="A192:T192"/>
    <mergeCell ref="B175:I175"/>
    <mergeCell ref="B179:I179"/>
    <mergeCell ref="A170:A172"/>
    <mergeCell ref="T170:T172"/>
    <mergeCell ref="K170:M171"/>
    <mergeCell ref="N170:P171"/>
    <mergeCell ref="Q170:S171"/>
    <mergeCell ref="J170:J172"/>
    <mergeCell ref="B170:I172"/>
    <mergeCell ref="B163:I163"/>
    <mergeCell ref="R194:R195"/>
    <mergeCell ref="T194:T195"/>
    <mergeCell ref="J189:J191"/>
    <mergeCell ref="T189:T191"/>
    <mergeCell ref="B222:I222"/>
    <mergeCell ref="A6:K6"/>
    <mergeCell ref="U128:W128"/>
    <mergeCell ref="Q158:S159"/>
    <mergeCell ref="A142:T143"/>
    <mergeCell ref="A117:T118"/>
    <mergeCell ref="A130:T131"/>
    <mergeCell ref="Q119:S120"/>
    <mergeCell ref="A14:K14"/>
    <mergeCell ref="U147:W147"/>
    <mergeCell ref="A15:K15"/>
    <mergeCell ref="A17:K17"/>
    <mergeCell ref="A27:K27"/>
    <mergeCell ref="A144:A146"/>
    <mergeCell ref="B144:I146"/>
    <mergeCell ref="B128:I128"/>
    <mergeCell ref="B139:I139"/>
    <mergeCell ref="A28:A30"/>
    <mergeCell ref="J144:J146"/>
    <mergeCell ref="T144:T146"/>
    <mergeCell ref="T132:T134"/>
    <mergeCell ref="M16:T16"/>
    <mergeCell ref="U31:V31"/>
    <mergeCell ref="U32:V32"/>
    <mergeCell ref="N144:P145"/>
    <mergeCell ref="B140:I140"/>
    <mergeCell ref="M14:T14"/>
    <mergeCell ref="A33:T34"/>
    <mergeCell ref="A85:J101"/>
    <mergeCell ref="K85:T101"/>
    <mergeCell ref="A9:K9"/>
    <mergeCell ref="M17:T17"/>
    <mergeCell ref="A21:K25"/>
    <mergeCell ref="H28:H30"/>
    <mergeCell ref="G28:G30"/>
    <mergeCell ref="D28:F29"/>
    <mergeCell ref="B28:C29"/>
    <mergeCell ref="M27:T32"/>
    <mergeCell ref="K71:T84"/>
    <mergeCell ref="U34:Y72"/>
    <mergeCell ref="U73:Z73"/>
    <mergeCell ref="U78:Z78"/>
    <mergeCell ref="U98:Y98"/>
    <mergeCell ref="U99:Y114"/>
    <mergeCell ref="A107:A110"/>
    <mergeCell ref="B107:G107"/>
    <mergeCell ref="B108:T109"/>
    <mergeCell ref="B110:G110"/>
    <mergeCell ref="A111:T114"/>
    <mergeCell ref="A105:T106"/>
  </mergeCells>
  <phoneticPr fontId="4" type="noConversion"/>
  <conditionalFormatting sqref="U3:U6">
    <cfRule type="cellIs" dxfId="70" priority="1" operator="equal">
      <formula>"Trebuie alocate cel puțin 14 de ore pe săptămână"</formula>
    </cfRule>
    <cfRule type="cellIs" dxfId="69" priority="2" operator="equal">
      <formula>"Suma trebuie să fie 52"</formula>
    </cfRule>
    <cfRule type="cellIs" dxfId="68" priority="3" operator="equal">
      <formula>"Corect"</formula>
    </cfRule>
    <cfRule type="cellIs" dxfId="67" priority="4" operator="equal">
      <formula>"Suma trebuie să fie 52"</formula>
    </cfRule>
    <cfRule type="cellIs" dxfId="66" priority="5" operator="equal">
      <formula>"Corect"</formula>
    </cfRule>
    <cfRule type="cellIs" dxfId="65" priority="6" operator="equal">
      <formula>SUM($B$31:$J$31)</formula>
    </cfRule>
    <cfRule type="cellIs" dxfId="64" priority="7" operator="lessThan">
      <formula>"(SUM(B28:K28)=52"</formula>
    </cfRule>
    <cfRule type="cellIs" dxfId="63" priority="8" operator="equal">
      <formula>52</formula>
    </cfRule>
    <cfRule type="cellIs" dxfId="62" priority="9" operator="equal">
      <formula>$K$31</formula>
    </cfRule>
    <cfRule type="cellIs" dxfId="61" priority="10" operator="equal">
      <formula>$B$31:$K$31=52</formula>
    </cfRule>
    <cfRule type="cellIs" dxfId="60" priority="11" operator="equal">
      <formula>"NU e bine"</formula>
    </cfRule>
    <cfRule type="cellIs" dxfId="59" priority="12" operator="equal">
      <formula>"E bine"</formula>
    </cfRule>
  </conditionalFormatting>
  <conditionalFormatting sqref="U31:U32 U282 L32">
    <cfRule type="cellIs" dxfId="58" priority="282" operator="equal">
      <formula>"E bine"</formula>
    </cfRule>
  </conditionalFormatting>
  <conditionalFormatting sqref="U31:U32 U282">
    <cfRule type="cellIs" dxfId="57" priority="281" operator="equal">
      <formula>"NU e bine"</formula>
    </cfRule>
  </conditionalFormatting>
  <conditionalFormatting sqref="U122">
    <cfRule type="containsText" dxfId="56" priority="23" operator="containsText" text="Sunt necesare cel puțin 30 de credite">
      <formula>NOT(ISERROR(SEARCH("Sunt necesare cel puțin 30 de credite",U122)))</formula>
    </cfRule>
  </conditionalFormatting>
  <conditionalFormatting sqref="U135">
    <cfRule type="containsText" dxfId="55" priority="25" operator="containsText" text="Sunt necesare cel puțin 30 de credite">
      <formula>NOT(ISERROR(SEARCH("Sunt necesare cel puțin 30 de credite",U135)))</formula>
    </cfRule>
  </conditionalFormatting>
  <conditionalFormatting sqref="U147">
    <cfRule type="containsText" dxfId="54" priority="69" operator="containsText" text="Sunt necesare cel puțin 30 de credite">
      <formula>NOT(ISERROR(SEARCH("Sunt necesare cel puțin 30 de credite",U147)))</formula>
    </cfRule>
  </conditionalFormatting>
  <conditionalFormatting sqref="U161">
    <cfRule type="containsText" dxfId="53" priority="67" operator="containsText" text="Sunt necesare cel puțin 30 de credite">
      <formula>NOT(ISERROR(SEARCH("Sunt necesare cel puțin 30 de credite",U161)))</formula>
    </cfRule>
  </conditionalFormatting>
  <conditionalFormatting sqref="U290">
    <cfRule type="cellIs" dxfId="52" priority="50" operator="equal">
      <formula>"Corect"</formula>
    </cfRule>
    <cfRule type="cellIs" dxfId="51" priority="49" operator="equal">
      <formula>"Suma trebuie să fie 52"</formula>
    </cfRule>
    <cfRule type="cellIs" dxfId="50" priority="48" operator="equal">
      <formula>$B$31:$K$31=52</formula>
    </cfRule>
    <cfRule type="cellIs" dxfId="49" priority="47" operator="equal">
      <formula>$K$31</formula>
    </cfRule>
    <cfRule type="cellIs" dxfId="48" priority="46" operator="equal">
      <formula>52</formula>
    </cfRule>
    <cfRule type="cellIs" dxfId="47" priority="43" operator="equal">
      <formula>"Corect"</formula>
    </cfRule>
    <cfRule type="cellIs" dxfId="46" priority="44" operator="equal">
      <formula>SUM($B$31:$J$31)</formula>
    </cfRule>
    <cfRule type="cellIs" dxfId="45" priority="41" operator="equal">
      <formula>"Bilanțul general nu corespunde cu Bilanțul pe tipuri de discipline"</formula>
    </cfRule>
    <cfRule type="cellIs" dxfId="44" priority="45" operator="lessThan">
      <formula>"(SUM(B28:K28)=52"</formula>
    </cfRule>
    <cfRule type="cellIs" dxfId="43" priority="42" operator="equal">
      <formula>"Suma trebuie să fie 52"</formula>
    </cfRule>
    <cfRule type="cellIs" dxfId="42" priority="51" operator="equal">
      <formula>"NU e bine"</formula>
    </cfRule>
    <cfRule type="cellIs" dxfId="41" priority="52" operator="equal">
      <formula>"E bine"</formula>
    </cfRule>
  </conditionalFormatting>
  <conditionalFormatting sqref="U292">
    <cfRule type="cellIs" dxfId="40" priority="35" operator="equal">
      <formula>$K$31</formula>
    </cfRule>
    <cfRule type="cellIs" dxfId="39" priority="36" operator="equal">
      <formula>$B$31:$K$31=52</formula>
    </cfRule>
    <cfRule type="cellIs" dxfId="38" priority="38" operator="equal">
      <formula>"Corect"</formula>
    </cfRule>
    <cfRule type="cellIs" dxfId="37" priority="39" operator="equal">
      <formula>"NU e bine"</formula>
    </cfRule>
    <cfRule type="cellIs" dxfId="36" priority="40" operator="equal">
      <formula>"E bine"</formula>
    </cfRule>
    <cfRule type="cellIs" dxfId="35" priority="37" operator="equal">
      <formula>"Suma trebuie să fie 52"</formula>
    </cfRule>
    <cfRule type="cellIs" dxfId="34" priority="29" operator="equal">
      <formula>"Bilanțul general nu corespunde cu Bilanțul pe tipuri de discipline"</formula>
    </cfRule>
    <cfRule type="cellIs" dxfId="33" priority="30" operator="equal">
      <formula>"Suma trebuie să fie 52"</formula>
    </cfRule>
    <cfRule type="cellIs" dxfId="32" priority="31" operator="equal">
      <formula>"Corect"</formula>
    </cfRule>
    <cfRule type="cellIs" dxfId="31" priority="32" operator="equal">
      <formula>SUM($B$31:$J$31)</formula>
    </cfRule>
    <cfRule type="cellIs" dxfId="30" priority="33" operator="lessThan">
      <formula>"(SUM(B28:K28)=52"</formula>
    </cfRule>
    <cfRule type="cellIs" dxfId="29" priority="34" operator="equal">
      <formula>52</formula>
    </cfRule>
  </conditionalFormatting>
  <conditionalFormatting sqref="U31:V31">
    <cfRule type="cellIs" dxfId="28" priority="135" operator="equal">
      <formula>"Correct"</formula>
    </cfRule>
  </conditionalFormatting>
  <conditionalFormatting sqref="U31:V32">
    <cfRule type="cellIs" dxfId="27" priority="274" operator="equal">
      <formula>"Suma trebuie să fie 52"</formula>
    </cfRule>
    <cfRule type="cellIs" dxfId="26" priority="275" operator="equal">
      <formula>"Corect"</formula>
    </cfRule>
    <cfRule type="cellIs" dxfId="25" priority="276" operator="equal">
      <formula>SUM($B$31:$J$31)</formula>
    </cfRule>
    <cfRule type="cellIs" dxfId="24" priority="277" operator="lessThan">
      <formula>"(SUM(B28:K28)=52"</formula>
    </cfRule>
    <cfRule type="cellIs" dxfId="23" priority="278" operator="equal">
      <formula>52</formula>
    </cfRule>
    <cfRule type="cellIs" dxfId="22" priority="279" operator="equal">
      <formula>$K$31</formula>
    </cfRule>
    <cfRule type="cellIs" dxfId="21" priority="280" operator="equal">
      <formula>$B$31:$K$31=52</formula>
    </cfRule>
  </conditionalFormatting>
  <conditionalFormatting sqref="U282:V282 U31:V32">
    <cfRule type="cellIs" dxfId="20" priority="269" operator="equal">
      <formula>"Suma trebuie să fie 52"</formula>
    </cfRule>
  </conditionalFormatting>
  <conditionalFormatting sqref="U282:V282">
    <cfRule type="cellIs" dxfId="19" priority="245" operator="equal">
      <formula>"Nu corespunde cu tabelul de opționale"</formula>
    </cfRule>
    <cfRule type="cellIs" dxfId="18" priority="248" operator="equal">
      <formula>"Suma trebuie să fie 52"</formula>
    </cfRule>
    <cfRule type="cellIs" dxfId="17" priority="249" operator="equal">
      <formula>"Corect"</formula>
    </cfRule>
    <cfRule type="cellIs" dxfId="16" priority="250" operator="equal">
      <formula>SUM($B$31:$J$31)</formula>
    </cfRule>
    <cfRule type="cellIs" dxfId="15" priority="252" operator="equal">
      <formula>52</formula>
    </cfRule>
    <cfRule type="cellIs" dxfId="14" priority="253" operator="equal">
      <formula>$K$31</formula>
    </cfRule>
    <cfRule type="cellIs" dxfId="13" priority="254" operator="equal">
      <formula>$B$31:$K$31=52</formula>
    </cfRule>
    <cfRule type="cellIs" dxfId="12" priority="251" operator="lessThan">
      <formula>"(SUM(B28:K28)=52"</formula>
    </cfRule>
  </conditionalFormatting>
  <conditionalFormatting sqref="U122:W122">
    <cfRule type="containsText" dxfId="11" priority="22" operator="containsText" text="Corect">
      <formula>NOT(ISERROR(SEARCH("Corect",U122)))</formula>
    </cfRule>
  </conditionalFormatting>
  <conditionalFormatting sqref="U128:W128 U141:W141 U153:W153 U165:W165">
    <cfRule type="cellIs" dxfId="10" priority="270" operator="equal">
      <formula>"E trebuie să fie cel puțin egal cu C+VP"</formula>
    </cfRule>
    <cfRule type="cellIs" dxfId="9" priority="271" operator="equal">
      <formula>"Corect"</formula>
    </cfRule>
  </conditionalFormatting>
  <conditionalFormatting sqref="U135:W135">
    <cfRule type="containsText" dxfId="8" priority="24" operator="containsText" text="Corect">
      <formula>NOT(ISERROR(SEARCH("Corect",U135)))</formula>
    </cfRule>
  </conditionalFormatting>
  <conditionalFormatting sqref="U147:W147">
    <cfRule type="containsText" dxfId="7" priority="68" operator="containsText" text="Corect">
      <formula>NOT(ISERROR(SEARCH("Corect",U147)))</formula>
    </cfRule>
  </conditionalFormatting>
  <conditionalFormatting sqref="U161:W161">
    <cfRule type="containsText" dxfId="6" priority="66" operator="containsText" text="Corect">
      <formula>NOT(ISERROR(SEARCH("Corect",U161)))</formula>
    </cfRule>
  </conditionalFormatting>
  <conditionalFormatting sqref="U282:X282 U31:V32">
    <cfRule type="cellIs" dxfId="5" priority="272" operator="equal">
      <formula>"Corect"</formula>
    </cfRule>
  </conditionalFormatting>
  <conditionalFormatting sqref="U304:Y305">
    <cfRule type="cellIs" dxfId="4" priority="15" operator="equal">
      <formula>"Corect"</formula>
    </cfRule>
    <cfRule type="cellIs" dxfId="3" priority="14" operator="equal">
      <formula>"Ați pierdut unele discipline"</formula>
    </cfRule>
    <cfRule type="cellIs" dxfId="2" priority="13" operator="equal">
      <formula>"Ați dublat unele discipline"</formula>
    </cfRule>
  </conditionalFormatting>
  <conditionalFormatting sqref="V154:W154">
    <cfRule type="containsText" dxfId="1" priority="78" operator="containsText" text="Corect">
      <formula>NOT(ISERROR(SEARCH("Corect",V154)))</formula>
    </cfRule>
  </conditionalFormatting>
  <conditionalFormatting sqref="V166:W166">
    <cfRule type="containsText" dxfId="0" priority="74" operator="containsText" text="Corect">
      <formula>NOT(ISERROR(SEARCH("Corect",V166)))</formula>
    </cfRule>
  </conditionalFormatting>
  <dataValidations count="7">
    <dataValidation type="list" allowBlank="1" showInputMessage="1" showErrorMessage="1" sqref="B239:I248 B251:I253 B267:I268 B217:I222 B225:I225" xr:uid="{00000000-0002-0000-0000-000003000000}">
      <formula1>$B$119:$B$186</formula1>
    </dataValidation>
    <dataValidation type="list" allowBlank="1" showInputMessage="1" showErrorMessage="1" sqref="T193:T194 T178:T179" xr:uid="{00000000-0002-0000-0000-000004000000}">
      <formula1>"DF, DS, DA, DSIN, DC"</formula1>
    </dataValidation>
    <dataValidation type="list" allowBlank="1" showInputMessage="1" showErrorMessage="1" sqref="Q193:Q194 Q135:Q140 Q174:Q176 Q178:Q179" xr:uid="{00000000-0002-0000-0000-000005000000}">
      <formula1>"E"</formula1>
    </dataValidation>
    <dataValidation type="list" allowBlank="1" showInputMessage="1" showErrorMessage="1" sqref="R193:R194 R135:R140 R174:R176 R178:R179 R122:R127 R161:R164 R147:R149 R152" xr:uid="{00000000-0002-0000-0000-000006000000}">
      <formula1>"C"</formula1>
    </dataValidation>
    <dataValidation type="list" allowBlank="1" showInputMessage="1" showErrorMessage="1" sqref="S193:S194 S135:S140 S174:S176 S178:S179 S147:S152 S161:S164 S122:S127" xr:uid="{00000000-0002-0000-0000-000007000000}">
      <formula1>"VP"</formula1>
    </dataValidation>
    <dataValidation type="list" allowBlank="1" showInputMessage="1" showErrorMessage="1" sqref="Q122:Q127 Q147:Q152 Q161:Q164 Q323:S324 Q329:S330 Q326:S327 Q361:S361 Q352:S353 Q358:S359 Q355:S356 Q387:S387 Q378:S379 Q384:S385 Q381:S382 R150:R151 Q332:S332" xr:uid="{C0795270-45F8-4B45-B7F7-0B46AA62EEFF}">
      <formula1>#REF!</formula1>
    </dataValidation>
    <dataValidation type="list" allowBlank="1" showInputMessage="1" showErrorMessage="1" sqref="T122:T127 T174:T176 T161:T164 T135:T140 T147:T152" xr:uid="{6F73D343-BC7E-0A4A-9A2D-925976179836}">
      <formula1>$O$31:$S$31</formula1>
    </dataValidation>
  </dataValidations>
  <hyperlinks>
    <hyperlink ref="U78" r:id="rId1" display="www.anc.edu.ro/registrul-national-al-calificarilor-din-invatamantul-superior-rncis " xr:uid="{1726FBEB-751A-47F0-8040-C1DD11922315}"/>
    <hyperlink ref="U73" r:id="rId2" xr:uid="{7EB986AE-53D7-4A41-A5F4-3BE2967AA4D0}"/>
    <hyperlink ref="U98" r:id="rId3" xr:uid="{DA48FAD2-D4DD-4C8A-89F9-DE5A02B3192C}"/>
  </hyperlinks>
  <pageMargins left="0.70866141732283472" right="0.70866141732283472" top="0.74803149606299213" bottom="0.74803149606299213" header="0.31496062992125984" footer="0.39370078740157483"/>
  <pageSetup paperSize="9" orientation="landscape" blackAndWhite="1" r:id="rId4"/>
  <headerFooter differentFirst="1">
    <oddHeader>&amp;RPag. &amp;P</oddHeader>
    <firstFooter>&amp;LRECTOR,
Prof. univ. dr. Adrian-Olimpiu PETRUSEL&amp;CDECAN,
Prof. univ. dr. Călin-Emilian HINȚEA&amp;RDIRECTOR DE DEPARTAMENT,
Prof. univ. dr. Ioan HOSU</firstFooter>
  </headerFooter>
  <rowBreaks count="13" manualBreakCount="13">
    <brk id="32" max="25" man="1"/>
    <brk id="70" max="16383" man="1"/>
    <brk id="104" max="16383" man="1"/>
    <brk id="114" max="16383" man="1"/>
    <brk id="141" max="16383" man="1"/>
    <brk id="167" max="16383" man="1"/>
    <brk id="186" max="16383" man="1"/>
    <brk id="208" max="16383" man="1"/>
    <brk id="232" max="16383" man="1"/>
    <brk id="260" max="16383" man="1"/>
    <brk id="277" max="16383" man="1"/>
    <brk id="314" max="16383" man="1"/>
    <brk id="343" max="16383" man="1"/>
  </rowBreaks>
  <ignoredErrors>
    <ignoredError sqref="M282 J227" unlockedFormula="1"/>
  </ignoredError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34"/>
  <sheetViews>
    <sheetView view="pageLayout" topLeftCell="A10" zoomScaleNormal="150" workbookViewId="0">
      <selection activeCell="R15" sqref="R15"/>
    </sheetView>
  </sheetViews>
  <sheetFormatPr defaultColWidth="8.85546875" defaultRowHeight="15" x14ac:dyDescent="0.25"/>
  <cols>
    <col min="1" max="1" width="9.140625" customWidth="1"/>
    <col min="6" max="7" width="10.28515625" customWidth="1"/>
    <col min="8" max="8" width="10.7109375" customWidth="1"/>
    <col min="9" max="9" width="8.42578125" customWidth="1"/>
    <col min="10" max="10" width="8.140625" customWidth="1"/>
    <col min="11" max="11" width="9.42578125" customWidth="1"/>
    <col min="12" max="12" width="9.140625" customWidth="1"/>
    <col min="14" max="14" width="9.140625" customWidth="1"/>
  </cols>
  <sheetData>
    <row r="1" spans="1:14" x14ac:dyDescent="0.25">
      <c r="A1" s="354" t="s">
        <v>83</v>
      </c>
      <c r="B1" s="354"/>
      <c r="C1" s="354"/>
      <c r="D1" s="354"/>
      <c r="E1" s="354"/>
      <c r="F1" s="354"/>
      <c r="G1" s="354"/>
      <c r="H1" s="354"/>
      <c r="I1" s="354"/>
      <c r="J1" s="354"/>
      <c r="K1" s="354"/>
      <c r="L1" s="354"/>
      <c r="M1" s="354"/>
      <c r="N1" s="354"/>
    </row>
    <row r="2" spans="1:14" x14ac:dyDescent="0.25">
      <c r="A2" s="41"/>
      <c r="B2" s="41"/>
      <c r="C2" s="41"/>
      <c r="D2" s="41"/>
      <c r="E2" s="41"/>
      <c r="F2" s="41"/>
      <c r="G2" s="41"/>
      <c r="H2" s="41"/>
      <c r="I2" s="41"/>
      <c r="J2" s="41"/>
      <c r="K2" s="41"/>
      <c r="L2" s="41"/>
      <c r="M2" s="41"/>
      <c r="N2" s="41"/>
    </row>
    <row r="3" spans="1:14" x14ac:dyDescent="0.25">
      <c r="A3" s="351" t="s">
        <v>251</v>
      </c>
      <c r="B3" s="351"/>
      <c r="C3" s="351"/>
      <c r="D3" s="351"/>
      <c r="E3" s="351"/>
      <c r="F3" s="351"/>
      <c r="G3" s="351"/>
      <c r="H3" s="351"/>
      <c r="I3" s="351"/>
      <c r="J3" s="351"/>
      <c r="K3" s="351"/>
      <c r="L3" s="351"/>
      <c r="M3" s="351"/>
      <c r="N3" s="351"/>
    </row>
    <row r="4" spans="1:14" x14ac:dyDescent="0.25">
      <c r="A4" s="41"/>
      <c r="B4" s="41"/>
      <c r="C4" s="41"/>
      <c r="D4" s="41"/>
      <c r="E4" s="41"/>
      <c r="F4" s="41"/>
      <c r="G4" s="41"/>
      <c r="H4" s="41"/>
      <c r="I4" s="41"/>
      <c r="J4" s="41"/>
      <c r="K4" s="41"/>
      <c r="L4" s="41"/>
      <c r="M4" s="41"/>
      <c r="N4" s="41"/>
    </row>
    <row r="5" spans="1:14" x14ac:dyDescent="0.25">
      <c r="A5" s="355" t="s">
        <v>69</v>
      </c>
      <c r="B5" s="355"/>
      <c r="C5" s="355"/>
      <c r="D5" s="355"/>
      <c r="E5" s="355"/>
      <c r="F5" s="355"/>
      <c r="G5" s="355"/>
      <c r="H5" s="355"/>
      <c r="I5" s="355"/>
      <c r="J5" s="355"/>
      <c r="K5" s="355"/>
      <c r="L5" s="355"/>
      <c r="M5" s="356"/>
      <c r="N5" s="356"/>
    </row>
    <row r="6" spans="1:14" x14ac:dyDescent="0.25">
      <c r="A6" s="357" t="s">
        <v>70</v>
      </c>
      <c r="B6" s="358"/>
      <c r="C6" s="358"/>
      <c r="D6" s="358"/>
      <c r="E6" s="358"/>
      <c r="F6" s="358"/>
      <c r="G6" s="358"/>
      <c r="H6" s="358"/>
      <c r="I6" s="358"/>
      <c r="J6" s="358"/>
      <c r="K6" s="358"/>
      <c r="L6" s="358"/>
      <c r="M6" s="361" t="s">
        <v>68</v>
      </c>
      <c r="N6" s="361"/>
    </row>
    <row r="7" spans="1:14" x14ac:dyDescent="0.25">
      <c r="A7" s="359"/>
      <c r="B7" s="360"/>
      <c r="C7" s="360"/>
      <c r="D7" s="360"/>
      <c r="E7" s="360"/>
      <c r="F7" s="360"/>
      <c r="G7" s="360"/>
      <c r="H7" s="360"/>
      <c r="I7" s="360"/>
      <c r="J7" s="360"/>
      <c r="K7" s="360"/>
      <c r="L7" s="360"/>
      <c r="M7" s="361"/>
      <c r="N7" s="361"/>
    </row>
    <row r="8" spans="1:14" ht="15" customHeight="1" x14ac:dyDescent="0.25">
      <c r="A8" s="347" t="s">
        <v>226</v>
      </c>
      <c r="B8" s="348"/>
      <c r="C8" s="348"/>
      <c r="D8" s="348"/>
      <c r="E8" s="348"/>
      <c r="F8" s="348"/>
      <c r="G8" s="348"/>
      <c r="H8" s="348"/>
      <c r="I8" s="348"/>
      <c r="J8" s="348"/>
      <c r="K8" s="348"/>
      <c r="L8" s="349"/>
      <c r="M8" s="353"/>
      <c r="N8" s="353"/>
    </row>
    <row r="9" spans="1:14" x14ac:dyDescent="0.25">
      <c r="A9" s="350"/>
      <c r="B9" s="351"/>
      <c r="C9" s="351"/>
      <c r="D9" s="351"/>
      <c r="E9" s="351"/>
      <c r="F9" s="351"/>
      <c r="G9" s="351"/>
      <c r="H9" s="351"/>
      <c r="I9" s="351"/>
      <c r="J9" s="351"/>
      <c r="K9" s="351"/>
      <c r="L9" s="352"/>
      <c r="M9" s="353"/>
      <c r="N9" s="353"/>
    </row>
    <row r="10" spans="1:14" ht="15" customHeight="1" x14ac:dyDescent="0.25">
      <c r="A10" s="347" t="s">
        <v>227</v>
      </c>
      <c r="B10" s="348"/>
      <c r="C10" s="348"/>
      <c r="D10" s="348"/>
      <c r="E10" s="348"/>
      <c r="F10" s="348"/>
      <c r="G10" s="348"/>
      <c r="H10" s="348"/>
      <c r="I10" s="348"/>
      <c r="J10" s="348"/>
      <c r="K10" s="348"/>
      <c r="L10" s="349"/>
      <c r="M10" s="353"/>
      <c r="N10" s="353"/>
    </row>
    <row r="11" spans="1:14" x14ac:dyDescent="0.25">
      <c r="A11" s="350"/>
      <c r="B11" s="351"/>
      <c r="C11" s="351"/>
      <c r="D11" s="351"/>
      <c r="E11" s="351"/>
      <c r="F11" s="351"/>
      <c r="G11" s="351"/>
      <c r="H11" s="351"/>
      <c r="I11" s="351"/>
      <c r="J11" s="351"/>
      <c r="K11" s="351"/>
      <c r="L11" s="352"/>
      <c r="M11" s="353"/>
      <c r="N11" s="353"/>
    </row>
    <row r="12" spans="1:14" ht="15" customHeight="1" x14ac:dyDescent="0.25">
      <c r="A12" s="347" t="s">
        <v>228</v>
      </c>
      <c r="B12" s="348"/>
      <c r="C12" s="348"/>
      <c r="D12" s="348"/>
      <c r="E12" s="348"/>
      <c r="F12" s="348"/>
      <c r="G12" s="348"/>
      <c r="H12" s="348"/>
      <c r="I12" s="348"/>
      <c r="J12" s="348"/>
      <c r="K12" s="348"/>
      <c r="L12" s="349"/>
      <c r="M12" s="353"/>
      <c r="N12" s="353"/>
    </row>
    <row r="13" spans="1:14" x14ac:dyDescent="0.25">
      <c r="A13" s="362"/>
      <c r="B13" s="363"/>
      <c r="C13" s="363"/>
      <c r="D13" s="363"/>
      <c r="E13" s="363"/>
      <c r="F13" s="363"/>
      <c r="G13" s="363"/>
      <c r="H13" s="363"/>
      <c r="I13" s="363"/>
      <c r="J13" s="363"/>
      <c r="K13" s="363"/>
      <c r="L13" s="364"/>
      <c r="M13" s="353"/>
      <c r="N13" s="353"/>
    </row>
    <row r="15" spans="1:14" x14ac:dyDescent="0.25">
      <c r="A15" s="355" t="s">
        <v>71</v>
      </c>
      <c r="B15" s="355"/>
      <c r="C15" s="355"/>
      <c r="D15" s="355"/>
      <c r="E15" s="355"/>
      <c r="F15" s="355"/>
      <c r="G15" s="355"/>
      <c r="H15" s="355"/>
      <c r="I15" s="355"/>
      <c r="J15" s="355"/>
      <c r="K15" s="355"/>
      <c r="L15" s="355"/>
      <c r="M15" s="365"/>
      <c r="N15" s="366"/>
    </row>
    <row r="16" spans="1:14" x14ac:dyDescent="0.25">
      <c r="A16" s="357" t="s">
        <v>72</v>
      </c>
      <c r="B16" s="358"/>
      <c r="C16" s="358"/>
      <c r="D16" s="358"/>
      <c r="E16" s="358"/>
      <c r="F16" s="358"/>
      <c r="G16" s="358"/>
      <c r="H16" s="358"/>
      <c r="I16" s="358"/>
      <c r="J16" s="358"/>
      <c r="K16" s="358"/>
      <c r="L16" s="358"/>
      <c r="M16" s="361" t="s">
        <v>68</v>
      </c>
      <c r="N16" s="361"/>
    </row>
    <row r="17" spans="1:14" x14ac:dyDescent="0.25">
      <c r="A17" s="359"/>
      <c r="B17" s="360"/>
      <c r="C17" s="360"/>
      <c r="D17" s="360"/>
      <c r="E17" s="360"/>
      <c r="F17" s="360"/>
      <c r="G17" s="360"/>
      <c r="H17" s="360"/>
      <c r="I17" s="360"/>
      <c r="J17" s="360"/>
      <c r="K17" s="360"/>
      <c r="L17" s="360"/>
      <c r="M17" s="361"/>
      <c r="N17" s="361"/>
    </row>
    <row r="18" spans="1:14" ht="15" customHeight="1" x14ac:dyDescent="0.25">
      <c r="A18" s="347" t="s">
        <v>229</v>
      </c>
      <c r="B18" s="348"/>
      <c r="C18" s="348"/>
      <c r="D18" s="348"/>
      <c r="E18" s="348"/>
      <c r="F18" s="348"/>
      <c r="G18" s="348"/>
      <c r="H18" s="348"/>
      <c r="I18" s="348"/>
      <c r="J18" s="348"/>
      <c r="K18" s="348"/>
      <c r="L18" s="349"/>
      <c r="M18" s="367"/>
      <c r="N18" s="368"/>
    </row>
    <row r="19" spans="1:14" x14ac:dyDescent="0.25">
      <c r="A19" s="350"/>
      <c r="B19" s="351"/>
      <c r="C19" s="351"/>
      <c r="D19" s="351"/>
      <c r="E19" s="351"/>
      <c r="F19" s="351"/>
      <c r="G19" s="351"/>
      <c r="H19" s="351"/>
      <c r="I19" s="351"/>
      <c r="J19" s="351"/>
      <c r="K19" s="351"/>
      <c r="L19" s="352"/>
      <c r="M19" s="369"/>
      <c r="N19" s="370"/>
    </row>
    <row r="20" spans="1:14" ht="15" customHeight="1" x14ac:dyDescent="0.25">
      <c r="A20" s="347" t="s">
        <v>230</v>
      </c>
      <c r="B20" s="348"/>
      <c r="C20" s="348"/>
      <c r="D20" s="348"/>
      <c r="E20" s="348"/>
      <c r="F20" s="348"/>
      <c r="G20" s="348"/>
      <c r="H20" s="348"/>
      <c r="I20" s="348"/>
      <c r="J20" s="348"/>
      <c r="K20" s="348"/>
      <c r="L20" s="349"/>
      <c r="M20" s="367"/>
      <c r="N20" s="368"/>
    </row>
    <row r="21" spans="1:14" x14ac:dyDescent="0.25">
      <c r="A21" s="350"/>
      <c r="B21" s="351"/>
      <c r="C21" s="351"/>
      <c r="D21" s="351"/>
      <c r="E21" s="351"/>
      <c r="F21" s="351"/>
      <c r="G21" s="351"/>
      <c r="H21" s="351"/>
      <c r="I21" s="351"/>
      <c r="J21" s="351"/>
      <c r="K21" s="351"/>
      <c r="L21" s="352"/>
      <c r="M21" s="369"/>
      <c r="N21" s="370"/>
    </row>
    <row r="22" spans="1:14" ht="15" customHeight="1" x14ac:dyDescent="0.25">
      <c r="A22" s="347" t="s">
        <v>231</v>
      </c>
      <c r="B22" s="348"/>
      <c r="C22" s="348"/>
      <c r="D22" s="348"/>
      <c r="E22" s="348"/>
      <c r="F22" s="348"/>
      <c r="G22" s="348"/>
      <c r="H22" s="348"/>
      <c r="I22" s="348"/>
      <c r="J22" s="348"/>
      <c r="K22" s="348"/>
      <c r="L22" s="349"/>
      <c r="M22" s="353"/>
      <c r="N22" s="353"/>
    </row>
    <row r="23" spans="1:14" x14ac:dyDescent="0.25">
      <c r="A23" s="362"/>
      <c r="B23" s="363"/>
      <c r="C23" s="363"/>
      <c r="D23" s="363"/>
      <c r="E23" s="363"/>
      <c r="F23" s="363"/>
      <c r="G23" s="363"/>
      <c r="H23" s="363"/>
      <c r="I23" s="363"/>
      <c r="J23" s="363"/>
      <c r="K23" s="363"/>
      <c r="L23" s="364"/>
      <c r="M23" s="353"/>
      <c r="N23" s="353"/>
    </row>
    <row r="24" spans="1:14" ht="15" customHeight="1" x14ac:dyDescent="0.25">
      <c r="A24" s="347" t="s">
        <v>232</v>
      </c>
      <c r="B24" s="348"/>
      <c r="C24" s="348"/>
      <c r="D24" s="348"/>
      <c r="E24" s="348"/>
      <c r="F24" s="348"/>
      <c r="G24" s="348"/>
      <c r="H24" s="348"/>
      <c r="I24" s="348"/>
      <c r="J24" s="348"/>
      <c r="K24" s="348"/>
      <c r="L24" s="349"/>
      <c r="M24" s="353"/>
      <c r="N24" s="353"/>
    </row>
    <row r="25" spans="1:14" x14ac:dyDescent="0.25">
      <c r="A25" s="362"/>
      <c r="B25" s="363"/>
      <c r="C25" s="363"/>
      <c r="D25" s="363"/>
      <c r="E25" s="363"/>
      <c r="F25" s="363"/>
      <c r="G25" s="363"/>
      <c r="H25" s="363"/>
      <c r="I25" s="363"/>
      <c r="J25" s="363"/>
      <c r="K25" s="363"/>
      <c r="L25" s="364"/>
      <c r="M25" s="353"/>
      <c r="N25" s="353"/>
    </row>
    <row r="26" spans="1:14" ht="15" customHeight="1" x14ac:dyDescent="0.25">
      <c r="A26" s="347" t="s">
        <v>233</v>
      </c>
      <c r="B26" s="348"/>
      <c r="C26" s="348"/>
      <c r="D26" s="348"/>
      <c r="E26" s="348"/>
      <c r="F26" s="348"/>
      <c r="G26" s="348"/>
      <c r="H26" s="348"/>
      <c r="I26" s="348"/>
      <c r="J26" s="348"/>
      <c r="K26" s="348"/>
      <c r="L26" s="349"/>
      <c r="M26" s="353"/>
      <c r="N26" s="353"/>
    </row>
    <row r="27" spans="1:14" x14ac:dyDescent="0.25">
      <c r="A27" s="362"/>
      <c r="B27" s="363"/>
      <c r="C27" s="363"/>
      <c r="D27" s="363"/>
      <c r="E27" s="363"/>
      <c r="F27" s="363"/>
      <c r="G27" s="363"/>
      <c r="H27" s="363"/>
      <c r="I27" s="363"/>
      <c r="J27" s="363"/>
      <c r="K27" s="363"/>
      <c r="L27" s="364"/>
      <c r="M27" s="353"/>
      <c r="N27" s="353"/>
    </row>
    <row r="28" spans="1:14" x14ac:dyDescent="0.25">
      <c r="A28" s="35"/>
      <c r="B28" s="35"/>
      <c r="C28" s="35"/>
      <c r="D28" s="35"/>
      <c r="E28" s="35"/>
      <c r="F28" s="35"/>
      <c r="G28" s="35"/>
      <c r="H28" s="35"/>
      <c r="I28" s="35"/>
      <c r="J28" s="35"/>
      <c r="K28" s="35"/>
      <c r="L28" s="35"/>
      <c r="M28" s="36"/>
      <c r="N28" s="36"/>
    </row>
    <row r="29" spans="1:14" x14ac:dyDescent="0.25">
      <c r="A29" s="374" t="s">
        <v>73</v>
      </c>
      <c r="B29" s="375"/>
      <c r="C29" s="375"/>
      <c r="D29" s="375"/>
      <c r="E29" s="375"/>
      <c r="F29" s="375"/>
      <c r="G29" s="375"/>
      <c r="H29" s="375"/>
      <c r="I29" s="375"/>
      <c r="J29" s="375"/>
      <c r="K29" s="375"/>
      <c r="L29" s="375"/>
      <c r="M29" s="375"/>
      <c r="N29" s="376"/>
    </row>
    <row r="30" spans="1:14" x14ac:dyDescent="0.25">
      <c r="A30" s="371" t="s">
        <v>221</v>
      </c>
      <c r="B30" s="372"/>
      <c r="C30" s="372"/>
      <c r="D30" s="372"/>
      <c r="E30" s="372"/>
      <c r="F30" s="372"/>
      <c r="G30" s="372"/>
      <c r="H30" s="372"/>
      <c r="I30" s="372"/>
      <c r="J30" s="372"/>
      <c r="K30" s="372"/>
      <c r="L30" s="372"/>
      <c r="M30" s="372"/>
      <c r="N30" s="373"/>
    </row>
    <row r="31" spans="1:14" x14ac:dyDescent="0.25">
      <c r="A31" s="371" t="s">
        <v>222</v>
      </c>
      <c r="B31" s="372"/>
      <c r="C31" s="372"/>
      <c r="D31" s="372"/>
      <c r="E31" s="372"/>
      <c r="F31" s="372"/>
      <c r="G31" s="372"/>
      <c r="H31" s="372"/>
      <c r="I31" s="372"/>
      <c r="J31" s="372"/>
      <c r="K31" s="372"/>
      <c r="L31" s="372"/>
      <c r="M31" s="372"/>
      <c r="N31" s="373"/>
    </row>
    <row r="32" spans="1:14" x14ac:dyDescent="0.25">
      <c r="A32" s="371" t="s">
        <v>223</v>
      </c>
      <c r="B32" s="372"/>
      <c r="C32" s="372"/>
      <c r="D32" s="372"/>
      <c r="E32" s="372"/>
      <c r="F32" s="372"/>
      <c r="G32" s="372"/>
      <c r="H32" s="372"/>
      <c r="I32" s="372"/>
      <c r="J32" s="372"/>
      <c r="K32" s="372"/>
      <c r="L32" s="372"/>
      <c r="M32" s="372"/>
      <c r="N32" s="373"/>
    </row>
    <row r="33" spans="1:14" x14ac:dyDescent="0.25">
      <c r="A33" s="371" t="s">
        <v>224</v>
      </c>
      <c r="B33" s="372"/>
      <c r="C33" s="372"/>
      <c r="D33" s="372"/>
      <c r="E33" s="372"/>
      <c r="F33" s="372"/>
      <c r="G33" s="372"/>
      <c r="H33" s="372"/>
      <c r="I33" s="372"/>
      <c r="J33" s="372"/>
      <c r="K33" s="372"/>
      <c r="L33" s="372"/>
      <c r="M33" s="372"/>
      <c r="N33" s="373"/>
    </row>
    <row r="34" spans="1:14" x14ac:dyDescent="0.25">
      <c r="A34" s="371" t="s">
        <v>225</v>
      </c>
      <c r="B34" s="372"/>
      <c r="C34" s="372"/>
      <c r="D34" s="372"/>
      <c r="E34" s="372"/>
      <c r="F34" s="372"/>
      <c r="G34" s="372"/>
      <c r="H34" s="372"/>
      <c r="I34" s="372"/>
      <c r="J34" s="372"/>
      <c r="K34" s="372"/>
      <c r="L34" s="372"/>
      <c r="M34" s="372"/>
      <c r="N34" s="373"/>
    </row>
  </sheetData>
  <mergeCells count="32">
    <mergeCell ref="A34:N34"/>
    <mergeCell ref="A22:L23"/>
    <mergeCell ref="M22:N23"/>
    <mergeCell ref="A24:L25"/>
    <mergeCell ref="M24:N25"/>
    <mergeCell ref="A26:L27"/>
    <mergeCell ref="M26:N27"/>
    <mergeCell ref="A29:N29"/>
    <mergeCell ref="A30:N30"/>
    <mergeCell ref="A31:N31"/>
    <mergeCell ref="A32:N32"/>
    <mergeCell ref="A33:N33"/>
    <mergeCell ref="A16:L17"/>
    <mergeCell ref="M16:N17"/>
    <mergeCell ref="A18:L19"/>
    <mergeCell ref="M18:N19"/>
    <mergeCell ref="A20:L21"/>
    <mergeCell ref="M20:N21"/>
    <mergeCell ref="A10:L11"/>
    <mergeCell ref="M10:N11"/>
    <mergeCell ref="A12:L13"/>
    <mergeCell ref="M12:N13"/>
    <mergeCell ref="A15:L15"/>
    <mergeCell ref="M15:N15"/>
    <mergeCell ref="A8:L9"/>
    <mergeCell ref="M8:N9"/>
    <mergeCell ref="A1:N1"/>
    <mergeCell ref="A5:L5"/>
    <mergeCell ref="M5:N5"/>
    <mergeCell ref="A6:L7"/>
    <mergeCell ref="M6:N7"/>
    <mergeCell ref="A3:N3"/>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Prof. univ. dr. Călin-Emilian HINȚEA&amp;RDIRECTOR DE DEPARTAMENT,
Prof. univ. dr. Ioan HOSU</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11</xdr:col>
                    <xdr:colOff>609600</xdr:colOff>
                    <xdr:row>4</xdr:row>
                    <xdr:rowOff>0</xdr:rowOff>
                  </from>
                  <to>
                    <xdr:col>13</xdr:col>
                    <xdr:colOff>600075</xdr:colOff>
                    <xdr:row>5</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76200</xdr:colOff>
                    <xdr:row>4</xdr:row>
                    <xdr:rowOff>9525</xdr:rowOff>
                  </from>
                  <to>
                    <xdr:col>12</xdr:col>
                    <xdr:colOff>523875</xdr:colOff>
                    <xdr:row>4</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76200</xdr:colOff>
                    <xdr:row>4</xdr:row>
                    <xdr:rowOff>9525</xdr:rowOff>
                  </from>
                  <to>
                    <xdr:col>13</xdr:col>
                    <xdr:colOff>542925</xdr:colOff>
                    <xdr:row>4</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11</xdr:col>
                    <xdr:colOff>609600</xdr:colOff>
                    <xdr:row>9</xdr:row>
                    <xdr:rowOff>95250</xdr:rowOff>
                  </from>
                  <to>
                    <xdr:col>13</xdr:col>
                    <xdr:colOff>600075</xdr:colOff>
                    <xdr:row>10</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76200</xdr:colOff>
                    <xdr:row>9</xdr:row>
                    <xdr:rowOff>104775</xdr:rowOff>
                  </from>
                  <to>
                    <xdr:col>12</xdr:col>
                    <xdr:colOff>523875</xdr:colOff>
                    <xdr:row>10</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76200</xdr:colOff>
                    <xdr:row>9</xdr:row>
                    <xdr:rowOff>104775</xdr:rowOff>
                  </from>
                  <to>
                    <xdr:col>13</xdr:col>
                    <xdr:colOff>542925</xdr:colOff>
                    <xdr:row>10</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11</xdr:col>
                    <xdr:colOff>609600</xdr:colOff>
                    <xdr:row>11</xdr:row>
                    <xdr:rowOff>95250</xdr:rowOff>
                  </from>
                  <to>
                    <xdr:col>13</xdr:col>
                    <xdr:colOff>600075</xdr:colOff>
                    <xdr:row>12</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76200</xdr:colOff>
                    <xdr:row>11</xdr:row>
                    <xdr:rowOff>104775</xdr:rowOff>
                  </from>
                  <to>
                    <xdr:col>12</xdr:col>
                    <xdr:colOff>523875</xdr:colOff>
                    <xdr:row>12</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76200</xdr:colOff>
                    <xdr:row>11</xdr:row>
                    <xdr:rowOff>104775</xdr:rowOff>
                  </from>
                  <to>
                    <xdr:col>13</xdr:col>
                    <xdr:colOff>542925</xdr:colOff>
                    <xdr:row>12</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11</xdr:col>
                    <xdr:colOff>609600</xdr:colOff>
                    <xdr:row>14</xdr:row>
                    <xdr:rowOff>0</xdr:rowOff>
                  </from>
                  <to>
                    <xdr:col>13</xdr:col>
                    <xdr:colOff>600075</xdr:colOff>
                    <xdr:row>15</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76200</xdr:colOff>
                    <xdr:row>14</xdr:row>
                    <xdr:rowOff>9525</xdr:rowOff>
                  </from>
                  <to>
                    <xdr:col>12</xdr:col>
                    <xdr:colOff>523875</xdr:colOff>
                    <xdr:row>14</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76200</xdr:colOff>
                    <xdr:row>14</xdr:row>
                    <xdr:rowOff>9525</xdr:rowOff>
                  </from>
                  <to>
                    <xdr:col>13</xdr:col>
                    <xdr:colOff>542925</xdr:colOff>
                    <xdr:row>14</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11</xdr:col>
                    <xdr:colOff>609600</xdr:colOff>
                    <xdr:row>17</xdr:row>
                    <xdr:rowOff>95250</xdr:rowOff>
                  </from>
                  <to>
                    <xdr:col>13</xdr:col>
                    <xdr:colOff>600075</xdr:colOff>
                    <xdr:row>18</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76200</xdr:colOff>
                    <xdr:row>17</xdr:row>
                    <xdr:rowOff>104775</xdr:rowOff>
                  </from>
                  <to>
                    <xdr:col>12</xdr:col>
                    <xdr:colOff>523875</xdr:colOff>
                    <xdr:row>18</xdr:row>
                    <xdr:rowOff>95250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76200</xdr:colOff>
                    <xdr:row>17</xdr:row>
                    <xdr:rowOff>114300</xdr:rowOff>
                  </from>
                  <to>
                    <xdr:col>13</xdr:col>
                    <xdr:colOff>542925</xdr:colOff>
                    <xdr:row>18</xdr:row>
                    <xdr:rowOff>95250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11</xdr:col>
                    <xdr:colOff>609600</xdr:colOff>
                    <xdr:row>19</xdr:row>
                    <xdr:rowOff>95250</xdr:rowOff>
                  </from>
                  <to>
                    <xdr:col>13</xdr:col>
                    <xdr:colOff>600075</xdr:colOff>
                    <xdr:row>20</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76200</xdr:colOff>
                    <xdr:row>19</xdr:row>
                    <xdr:rowOff>104775</xdr:rowOff>
                  </from>
                  <to>
                    <xdr:col>12</xdr:col>
                    <xdr:colOff>523875</xdr:colOff>
                    <xdr:row>20</xdr:row>
                    <xdr:rowOff>95250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76200</xdr:colOff>
                    <xdr:row>19</xdr:row>
                    <xdr:rowOff>114300</xdr:rowOff>
                  </from>
                  <to>
                    <xdr:col>13</xdr:col>
                    <xdr:colOff>542925</xdr:colOff>
                    <xdr:row>20</xdr:row>
                    <xdr:rowOff>95250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11</xdr:col>
                    <xdr:colOff>609600</xdr:colOff>
                    <xdr:row>21</xdr:row>
                    <xdr:rowOff>95250</xdr:rowOff>
                  </from>
                  <to>
                    <xdr:col>13</xdr:col>
                    <xdr:colOff>600075</xdr:colOff>
                    <xdr:row>22</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76200</xdr:colOff>
                    <xdr:row>21</xdr:row>
                    <xdr:rowOff>104775</xdr:rowOff>
                  </from>
                  <to>
                    <xdr:col>12</xdr:col>
                    <xdr:colOff>523875</xdr:colOff>
                    <xdr:row>22</xdr:row>
                    <xdr:rowOff>95250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76200</xdr:colOff>
                    <xdr:row>21</xdr:row>
                    <xdr:rowOff>114300</xdr:rowOff>
                  </from>
                  <to>
                    <xdr:col>13</xdr:col>
                    <xdr:colOff>542925</xdr:colOff>
                    <xdr:row>22</xdr:row>
                    <xdr:rowOff>95250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11</xdr:col>
                    <xdr:colOff>609600</xdr:colOff>
                    <xdr:row>7</xdr:row>
                    <xdr:rowOff>95250</xdr:rowOff>
                  </from>
                  <to>
                    <xdr:col>13</xdr:col>
                    <xdr:colOff>600075</xdr:colOff>
                    <xdr:row>8</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76200</xdr:colOff>
                    <xdr:row>7</xdr:row>
                    <xdr:rowOff>104775</xdr:rowOff>
                  </from>
                  <to>
                    <xdr:col>12</xdr:col>
                    <xdr:colOff>523875</xdr:colOff>
                    <xdr:row>8</xdr:row>
                    <xdr:rowOff>85725</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76200</xdr:colOff>
                    <xdr:row>7</xdr:row>
                    <xdr:rowOff>104775</xdr:rowOff>
                  </from>
                  <to>
                    <xdr:col>13</xdr:col>
                    <xdr:colOff>542925</xdr:colOff>
                    <xdr:row>8</xdr:row>
                    <xdr:rowOff>85725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11</xdr:col>
                    <xdr:colOff>609600</xdr:colOff>
                    <xdr:row>23</xdr:row>
                    <xdr:rowOff>95250</xdr:rowOff>
                  </from>
                  <to>
                    <xdr:col>13</xdr:col>
                    <xdr:colOff>600075</xdr:colOff>
                    <xdr:row>24</xdr:row>
                    <xdr:rowOff>95250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12</xdr:col>
                    <xdr:colOff>76200</xdr:colOff>
                    <xdr:row>23</xdr:row>
                    <xdr:rowOff>104775</xdr:rowOff>
                  </from>
                  <to>
                    <xdr:col>12</xdr:col>
                    <xdr:colOff>523875</xdr:colOff>
                    <xdr:row>24</xdr:row>
                    <xdr:rowOff>95250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13</xdr:col>
                    <xdr:colOff>76200</xdr:colOff>
                    <xdr:row>23</xdr:row>
                    <xdr:rowOff>114300</xdr:rowOff>
                  </from>
                  <to>
                    <xdr:col>13</xdr:col>
                    <xdr:colOff>542925</xdr:colOff>
                    <xdr:row>24</xdr:row>
                    <xdr:rowOff>95250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11</xdr:col>
                    <xdr:colOff>609600</xdr:colOff>
                    <xdr:row>25</xdr:row>
                    <xdr:rowOff>95250</xdr:rowOff>
                  </from>
                  <to>
                    <xdr:col>13</xdr:col>
                    <xdr:colOff>600075</xdr:colOff>
                    <xdr:row>26</xdr:row>
                    <xdr:rowOff>95250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12</xdr:col>
                    <xdr:colOff>76200</xdr:colOff>
                    <xdr:row>25</xdr:row>
                    <xdr:rowOff>104775</xdr:rowOff>
                  </from>
                  <to>
                    <xdr:col>12</xdr:col>
                    <xdr:colOff>523875</xdr:colOff>
                    <xdr:row>26</xdr:row>
                    <xdr:rowOff>95250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13</xdr:col>
                    <xdr:colOff>76200</xdr:colOff>
                    <xdr:row>25</xdr:row>
                    <xdr:rowOff>114300</xdr:rowOff>
                  </from>
                  <to>
                    <xdr:col>13</xdr:col>
                    <xdr:colOff>542925</xdr:colOff>
                    <xdr:row>26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vt:i4>
      </vt:variant>
    </vt:vector>
  </HeadingPairs>
  <TitlesOfParts>
    <vt:vector size="3" baseType="lpstr">
      <vt:lpstr>Plan</vt:lpstr>
      <vt:lpstr>Raport_revizuire</vt:lpstr>
      <vt:lpstr>Plan!Zona_de_imprimat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Patricia-Georgiana Rechisan</cp:lastModifiedBy>
  <cp:lastPrinted>2025-04-25T06:40:18Z</cp:lastPrinted>
  <dcterms:created xsi:type="dcterms:W3CDTF">2013-06-27T08:19:59Z</dcterms:created>
  <dcterms:modified xsi:type="dcterms:W3CDTF">2025-04-25T06:40:44Z</dcterms:modified>
</cp:coreProperties>
</file>